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ddecpr-my.sharepoint.com/personal/diana_barcelo_ddec_pr_gov/Documents/Documents/INFORME FOMBI/JUNIO 2025/"/>
    </mc:Choice>
  </mc:AlternateContent>
  <xr:revisionPtr revIDLastSave="18" documentId="14_{BE36A1D0-899F-403E-B2AC-60D2124FB417}" xr6:coauthVersionLast="47" xr6:coauthVersionMax="47" xr10:uidLastSave="{079FDAFC-AB4D-42D1-983D-D813A6C42456}"/>
  <bookViews>
    <workbookView xWindow="-110" yWindow="-110" windowWidth="19420" windowHeight="11020" tabRatio="791" firstSheet="2" activeTab="2" xr2:uid="{00000000-000D-0000-FFFF-FFFF00000000}"/>
  </bookViews>
  <sheets>
    <sheet name="Summary by categories" sheetId="10" state="hidden" r:id="rId1"/>
    <sheet name="Summary by dates" sheetId="18" state="hidden" r:id="rId2"/>
    <sheet name="Summary by categories to JUN 25" sheetId="26" r:id="rId3"/>
    <sheet name="Summary by dates to JUN 2025" sheetId="27" r:id="rId4"/>
    <sheet name="Report" sheetId="24" r:id="rId5"/>
    <sheet name="Table Pivot" sheetId="7" state="hidden" r:id="rId6"/>
    <sheet name="Month" sheetId="9" state="hidden" r:id="rId7"/>
  </sheets>
  <definedNames>
    <definedName name="_xlnm._FilterDatabase" localSheetId="4" hidden="1">Report!$B$5:$P$1698</definedName>
    <definedName name="_xlnm.Print_Area" localSheetId="0">'Summary by categories'!$C$2:$H$28</definedName>
    <definedName name="_xlnm.Print_Area" localSheetId="1">'Summary by dates'!$C$1:$G$81</definedName>
    <definedName name="_xlnm.Print_Titles" localSheetId="4">Report!$1:$5</definedName>
    <definedName name="_xlnm.Print_Titles" localSheetId="0">'Summary by categories'!$1:$8</definedName>
    <definedName name="_xlnm.Print_Titles" localSheetId="2">'Summary by categories to JUN 25'!$1:$6</definedName>
    <definedName name="_xlnm.Print_Titles" localSheetId="1">'Summary by dates'!$1:$7</definedName>
  </definedNames>
  <calcPr calcId="191029"/>
  <pivotCaches>
    <pivotCache cacheId="0" r:id="rId8"/>
    <pivotCache cacheId="1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8" i="24" l="1"/>
  <c r="M1698" i="24"/>
  <c r="N1698" i="24"/>
  <c r="O1698" i="24"/>
  <c r="O1622" i="24"/>
  <c r="O1586" i="24"/>
  <c r="O1561" i="24"/>
  <c r="N1255" i="24"/>
  <c r="O1255" i="24" s="1"/>
  <c r="N1636" i="24"/>
  <c r="N1342" i="24" l="1"/>
  <c r="N1535" i="24"/>
  <c r="N1655" i="24" l="1"/>
  <c r="O1655" i="24" s="1"/>
  <c r="N1654" i="24"/>
  <c r="O1654" i="24" s="1"/>
  <c r="N1652" i="24"/>
  <c r="O1652" i="24" s="1"/>
  <c r="N1651" i="24"/>
  <c r="O1651" i="24" s="1"/>
  <c r="N1647" i="24"/>
  <c r="O1647" i="24" s="1"/>
  <c r="N1646" i="24"/>
  <c r="O1646" i="24" s="1"/>
  <c r="N1639" i="24"/>
  <c r="O1639" i="24" s="1"/>
  <c r="O1638" i="24"/>
  <c r="O1697" i="24"/>
  <c r="O1696" i="24"/>
  <c r="O1695" i="24"/>
  <c r="O1694" i="24"/>
  <c r="O1693" i="24"/>
  <c r="O1692" i="24"/>
  <c r="O1691" i="24"/>
  <c r="O1690" i="24"/>
  <c r="O1689" i="24"/>
  <c r="O1688" i="24"/>
  <c r="O1687" i="24"/>
  <c r="O1686" i="24"/>
  <c r="O1685" i="24"/>
  <c r="O1684" i="24"/>
  <c r="O1683" i="24"/>
  <c r="O1682" i="24"/>
  <c r="O1681" i="24"/>
  <c r="O1680" i="24"/>
  <c r="O1679" i="24"/>
  <c r="O1678" i="24"/>
  <c r="O1677" i="24"/>
  <c r="O1676" i="24"/>
  <c r="O1675" i="24"/>
  <c r="O1674" i="24"/>
  <c r="O1673" i="24"/>
  <c r="O1672" i="24"/>
  <c r="O1671" i="24"/>
  <c r="O1670" i="24"/>
  <c r="O1669" i="24"/>
  <c r="O1668" i="24"/>
  <c r="O1667" i="24"/>
  <c r="O1666" i="24"/>
  <c r="O1665" i="24"/>
  <c r="O1664" i="24"/>
  <c r="O1663" i="24"/>
  <c r="O1662" i="24"/>
  <c r="O1661" i="24"/>
  <c r="O1660" i="24"/>
  <c r="O1659" i="24"/>
  <c r="O1658" i="24"/>
  <c r="O1657" i="24"/>
  <c r="O1656" i="24"/>
  <c r="O1653" i="24"/>
  <c r="O1650" i="24"/>
  <c r="O1649" i="24"/>
  <c r="O1648" i="24"/>
  <c r="O1645" i="24"/>
  <c r="O1644" i="24"/>
  <c r="O1643" i="24"/>
  <c r="O1642" i="24"/>
  <c r="O1641" i="24"/>
  <c r="O1640" i="24"/>
  <c r="O1637" i="24"/>
  <c r="O1636" i="24"/>
  <c r="O1635" i="24"/>
  <c r="N1521" i="24"/>
  <c r="O1521" i="24" s="1"/>
  <c r="N782" i="24"/>
  <c r="N1469" i="24"/>
  <c r="N1171" i="24"/>
  <c r="N484" i="24"/>
  <c r="N1452" i="24"/>
  <c r="N790" i="24"/>
  <c r="N1291" i="24"/>
  <c r="N1051" i="24"/>
  <c r="N1353" i="24"/>
  <c r="N542" i="24"/>
  <c r="N1329" i="24"/>
  <c r="N736" i="24"/>
  <c r="N1376" i="24"/>
  <c r="N1380" i="24"/>
  <c r="N776" i="24"/>
  <c r="N1330" i="24"/>
  <c r="O1330" i="24" s="1"/>
  <c r="N771" i="24"/>
  <c r="N1144" i="24"/>
  <c r="N103" i="24"/>
  <c r="N1381" i="24"/>
  <c r="O1381" i="24" s="1"/>
  <c r="N708" i="24"/>
  <c r="N559" i="24"/>
  <c r="N495" i="24"/>
  <c r="N1002" i="24"/>
  <c r="N691" i="24"/>
  <c r="N1169" i="24"/>
  <c r="N1533" i="24"/>
  <c r="O1533" i="24" s="1"/>
  <c r="N1063" i="24"/>
  <c r="N1129" i="24"/>
  <c r="N519" i="24"/>
  <c r="N900" i="24"/>
  <c r="N1440" i="24"/>
  <c r="N1183" i="24"/>
  <c r="N1512" i="24"/>
  <c r="O1512" i="24" s="1"/>
  <c r="O1634" i="24"/>
  <c r="N869" i="24"/>
  <c r="N1328" i="24"/>
  <c r="N547" i="24"/>
  <c r="N1136" i="24"/>
  <c r="N290" i="24"/>
  <c r="N957" i="24"/>
  <c r="N1493" i="24"/>
  <c r="O1493" i="24" s="1"/>
  <c r="N220" i="24"/>
  <c r="N916" i="24"/>
  <c r="N590" i="24"/>
  <c r="N545" i="24"/>
  <c r="N483" i="24"/>
  <c r="N1379" i="24"/>
  <c r="N1354" i="24"/>
  <c r="N105" i="24"/>
  <c r="N1325" i="24"/>
  <c r="N1180" i="24"/>
  <c r="N702" i="24"/>
  <c r="N1389" i="24"/>
  <c r="N485" i="24"/>
  <c r="N1100" i="24"/>
  <c r="N727" i="24"/>
  <c r="N1351" i="24"/>
  <c r="N1499" i="24"/>
  <c r="O1499" i="24" s="1"/>
  <c r="N779" i="24"/>
  <c r="N685" i="24"/>
  <c r="M1385" i="24"/>
  <c r="N792" i="24"/>
  <c r="N943" i="24"/>
  <c r="M648" i="24"/>
  <c r="O1591" i="24"/>
  <c r="N6" i="24"/>
  <c r="N160" i="24"/>
  <c r="N217" i="24"/>
  <c r="N671" i="24"/>
  <c r="N734" i="24"/>
  <c r="N1399" i="24"/>
  <c r="N1462" i="24"/>
  <c r="N1185" i="24"/>
  <c r="N1382" i="24"/>
  <c r="N486" i="24"/>
  <c r="N168" i="24"/>
  <c r="N1339" i="24"/>
  <c r="N785" i="24"/>
  <c r="N1294" i="24"/>
  <c r="N536" i="24"/>
  <c r="N760" i="24"/>
  <c r="N1155" i="24"/>
  <c r="N1121" i="24"/>
  <c r="N1455" i="24"/>
  <c r="N1410" i="24"/>
  <c r="N138" i="24"/>
  <c r="N251" i="24"/>
  <c r="N487" i="24"/>
  <c r="N787" i="24"/>
  <c r="N664" i="24"/>
  <c r="M1171" i="24"/>
  <c r="N481" i="24"/>
  <c r="N1201" i="24"/>
  <c r="N167" i="24"/>
  <c r="N498" i="24"/>
  <c r="N740" i="24"/>
  <c r="N783" i="24"/>
  <c r="N534" i="24"/>
  <c r="N929" i="24"/>
  <c r="N139" i="24"/>
  <c r="N1216" i="24"/>
  <c r="N904" i="24"/>
  <c r="N856" i="24"/>
  <c r="N188" i="24"/>
  <c r="N997" i="24"/>
  <c r="N1242" i="24"/>
  <c r="O1590" i="24"/>
  <c r="N522" i="24"/>
  <c r="N1244" i="24"/>
  <c r="N71" i="24"/>
  <c r="N95" i="24"/>
  <c r="N1175" i="24"/>
  <c r="N638" i="24"/>
  <c r="N63" i="24"/>
  <c r="N1181" i="24"/>
  <c r="N1589" i="24"/>
  <c r="N1506" i="24"/>
  <c r="O1506" i="24" s="1"/>
  <c r="N699" i="24"/>
  <c r="N766" i="24"/>
  <c r="N504" i="24"/>
  <c r="N1355" i="24"/>
  <c r="N643" i="24"/>
  <c r="N289" i="24"/>
  <c r="N1588" i="24"/>
  <c r="O1588" i="24" s="1"/>
  <c r="N1432" i="24"/>
  <c r="N747" i="24"/>
  <c r="N737" i="24"/>
  <c r="N784" i="24"/>
  <c r="N889" i="24"/>
  <c r="N789" i="24"/>
  <c r="N1374" i="24"/>
  <c r="N586" i="24"/>
  <c r="N870" i="24"/>
  <c r="N1477" i="24"/>
  <c r="O1535" i="24"/>
  <c r="N1065" i="24"/>
  <c r="N609" i="24"/>
  <c r="N1536" i="24"/>
  <c r="O1536" i="24" s="1"/>
  <c r="N1326" i="24"/>
  <c r="O1534" i="24"/>
  <c r="N1407" i="24"/>
  <c r="N307" i="24"/>
  <c r="N1314" i="24"/>
  <c r="N597" i="24"/>
  <c r="N1420" i="24"/>
  <c r="N872" i="24"/>
  <c r="N887" i="24"/>
  <c r="N746" i="24"/>
  <c r="N853" i="24"/>
  <c r="N1422" i="24"/>
  <c r="N829" i="24"/>
  <c r="N706" i="24"/>
  <c r="N765" i="24"/>
  <c r="N956" i="24"/>
  <c r="N770" i="24"/>
  <c r="N49" i="24"/>
  <c r="N97" i="24"/>
  <c r="N1178" i="24"/>
  <c r="N1365" i="24"/>
  <c r="N1419" i="24"/>
  <c r="N548" i="24"/>
  <c r="O1532" i="24"/>
  <c r="O1531" i="24"/>
  <c r="O1530" i="24"/>
  <c r="O1529" i="24"/>
  <c r="O1528" i="24"/>
  <c r="O1527" i="24"/>
  <c r="O1526" i="24"/>
  <c r="O1525" i="24"/>
  <c r="O1524" i="24"/>
  <c r="O1523" i="24"/>
  <c r="O1522" i="24"/>
  <c r="O1520" i="24"/>
  <c r="O1519" i="24"/>
  <c r="O1518" i="24"/>
  <c r="O1517" i="24"/>
  <c r="O1516" i="24"/>
  <c r="O1515" i="24"/>
  <c r="O1514" i="24"/>
  <c r="O1513" i="24"/>
  <c r="O1511" i="24"/>
  <c r="O1510" i="24"/>
  <c r="O1509" i="24"/>
  <c r="O1508" i="24"/>
  <c r="O1507" i="24"/>
  <c r="O1505" i="24"/>
  <c r="O1504" i="24"/>
  <c r="O1503" i="24"/>
  <c r="O1502" i="24"/>
  <c r="O1501" i="24"/>
  <c r="O1500" i="24"/>
  <c r="O1498" i="24"/>
  <c r="O1497" i="24"/>
  <c r="O1496" i="24"/>
  <c r="O1495" i="24"/>
  <c r="O1494" i="24"/>
  <c r="O1492" i="24"/>
  <c r="O1491" i="24"/>
  <c r="O1490" i="24"/>
  <c r="O1489" i="24"/>
  <c r="O1488" i="24"/>
  <c r="O1487" i="24"/>
  <c r="O1486" i="24"/>
  <c r="O1485" i="24"/>
  <c r="O1484" i="24"/>
  <c r="O1483" i="24"/>
  <c r="O1482" i="24"/>
  <c r="O1481" i="24"/>
  <c r="O83" i="24"/>
  <c r="N406" i="24" l="1"/>
  <c r="O406" i="24" s="1"/>
  <c r="N126" i="24"/>
  <c r="N41" i="24"/>
  <c r="N493" i="24"/>
  <c r="O493" i="24" s="1"/>
  <c r="N788" i="24"/>
  <c r="O727" i="24"/>
  <c r="N973" i="24"/>
  <c r="N1247" i="24"/>
  <c r="O1247" i="24" s="1"/>
  <c r="N687" i="24"/>
  <c r="O687" i="24" s="1"/>
  <c r="O1480" i="24"/>
  <c r="N533" i="24"/>
  <c r="N1358" i="24"/>
  <c r="O1358" i="24" s="1"/>
  <c r="N299" i="24"/>
  <c r="O299" i="24" s="1"/>
  <c r="O1479" i="24"/>
  <c r="N172" i="24"/>
  <c r="O172" i="24" s="1"/>
  <c r="O486" i="24"/>
  <c r="N927" i="24"/>
  <c r="O927" i="24" s="1"/>
  <c r="N1478" i="24"/>
  <c r="O1478" i="24" s="1"/>
  <c r="N993" i="24"/>
  <c r="O993" i="24" s="1"/>
  <c r="N825" i="24"/>
  <c r="O825" i="24" s="1"/>
  <c r="N1164" i="24"/>
  <c r="O1164" i="24" s="1"/>
  <c r="N1327" i="24"/>
  <c r="O1327" i="24" s="1"/>
  <c r="N184" i="24"/>
  <c r="O184" i="24" s="1"/>
  <c r="N823" i="24"/>
  <c r="O823" i="24" s="1"/>
  <c r="N822" i="24"/>
  <c r="O822" i="24" s="1"/>
  <c r="N1309" i="24"/>
  <c r="O1309" i="24" s="1"/>
  <c r="O1355" i="24"/>
  <c r="N31" i="24"/>
  <c r="O1477" i="24"/>
  <c r="N1011" i="24"/>
  <c r="O1011" i="24" s="1"/>
  <c r="O943" i="24"/>
  <c r="N923" i="24"/>
  <c r="N1360" i="24"/>
  <c r="O1360" i="24" s="1"/>
  <c r="N614" i="24"/>
  <c r="N553" i="24"/>
  <c r="N1367" i="24"/>
  <c r="O1367" i="24" s="1"/>
  <c r="N582" i="24"/>
  <c r="N602" i="24"/>
  <c r="N980" i="24"/>
  <c r="N613" i="24"/>
  <c r="N1418" i="24"/>
  <c r="O1418" i="24" s="1"/>
  <c r="N1456" i="24"/>
  <c r="O1456" i="24" s="1"/>
  <c r="N1476" i="24"/>
  <c r="O1476" i="24" s="1"/>
  <c r="N611" i="24"/>
  <c r="O611" i="24" s="1"/>
  <c r="N1417" i="24"/>
  <c r="O1417" i="24" s="1"/>
  <c r="N538" i="24"/>
  <c r="O538" i="24" s="1"/>
  <c r="N1283" i="24"/>
  <c r="O1283" i="24" s="1"/>
  <c r="O1328" i="24"/>
  <c r="N1256" i="24"/>
  <c r="O1256" i="24" s="1"/>
  <c r="N302" i="24"/>
  <c r="O302" i="24" s="1"/>
  <c r="N1425" i="24"/>
  <c r="O1425" i="24" s="1"/>
  <c r="N955" i="24"/>
  <c r="N698" i="24"/>
  <c r="O1475" i="24"/>
  <c r="O1474" i="24"/>
  <c r="O1473" i="24"/>
  <c r="N1366" i="24"/>
  <c r="O1366" i="24" s="1"/>
  <c r="N1284" i="24"/>
  <c r="O1284" i="24" s="1"/>
  <c r="N1357" i="24"/>
  <c r="O1357" i="24" s="1"/>
  <c r="O776" i="24"/>
  <c r="O590" i="24"/>
  <c r="O1314" i="24"/>
  <c r="N210" i="24"/>
  <c r="N700" i="24"/>
  <c r="O700" i="24" s="1"/>
  <c r="N1226" i="24"/>
  <c r="O1226" i="24" s="1"/>
  <c r="N1285" i="24"/>
  <c r="O1285" i="24" s="1"/>
  <c r="N58" i="24"/>
  <c r="O58" i="24" s="1"/>
  <c r="N258" i="24"/>
  <c r="O258" i="24" s="1"/>
  <c r="N1232" i="24"/>
  <c r="O1232" i="24" s="1"/>
  <c r="N725" i="24"/>
  <c r="O725" i="24" s="1"/>
  <c r="N537" i="24"/>
  <c r="N1421" i="24"/>
  <c r="O1421" i="24" s="1"/>
  <c r="N707" i="24"/>
  <c r="O707" i="24" s="1"/>
  <c r="N798" i="24"/>
  <c r="O798" i="24" s="1"/>
  <c r="N797" i="24"/>
  <c r="O797" i="24" s="1"/>
  <c r="N467" i="24"/>
  <c r="N801" i="24"/>
  <c r="O801" i="24" s="1"/>
  <c r="N1241" i="24"/>
  <c r="O1241" i="24" s="1"/>
  <c r="N1359" i="24"/>
  <c r="O1359" i="24" s="1"/>
  <c r="N1356" i="24"/>
  <c r="O1356" i="24" s="1"/>
  <c r="N9" i="24"/>
  <c r="O9" i="24" s="1"/>
  <c r="N756" i="24"/>
  <c r="O756" i="24" s="1"/>
  <c r="N1220" i="24"/>
  <c r="O1220" i="24" s="1"/>
  <c r="N689" i="24"/>
  <c r="O689" i="24" s="1"/>
  <c r="N655" i="24"/>
  <c r="O655" i="24" s="1"/>
  <c r="N767" i="24"/>
  <c r="O767" i="24" s="1"/>
  <c r="N81" i="24"/>
  <c r="O81" i="24" s="1"/>
  <c r="O1472" i="24"/>
  <c r="O1471" i="24"/>
  <c r="O1470" i="24"/>
  <c r="O1469" i="24"/>
  <c r="O1468" i="24"/>
  <c r="O1467" i="24"/>
  <c r="O1466" i="24"/>
  <c r="O1465" i="24"/>
  <c r="O1464" i="24"/>
  <c r="O1463" i="24"/>
  <c r="O1462" i="24"/>
  <c r="O1461" i="24"/>
  <c r="O1460" i="24"/>
  <c r="O1459" i="24"/>
  <c r="O1458" i="24"/>
  <c r="O1457" i="24"/>
  <c r="O1455" i="24"/>
  <c r="O1454" i="24"/>
  <c r="O1453" i="24"/>
  <c r="O1452" i="24"/>
  <c r="O1451" i="24"/>
  <c r="O1450" i="24"/>
  <c r="O1449" i="24"/>
  <c r="O1448" i="24"/>
  <c r="O1447" i="24"/>
  <c r="O1446" i="24"/>
  <c r="O1445" i="24"/>
  <c r="O1444" i="24"/>
  <c r="O1443" i="24"/>
  <c r="O1442" i="24"/>
  <c r="O1441" i="24"/>
  <c r="O1440" i="24"/>
  <c r="O1439" i="24"/>
  <c r="N901" i="24"/>
  <c r="O901" i="24" s="1"/>
  <c r="N598" i="24"/>
  <c r="O598" i="24" s="1"/>
  <c r="N371" i="24"/>
  <c r="O371" i="24" s="1"/>
  <c r="N551" i="24"/>
  <c r="O551" i="24" s="1"/>
  <c r="N610" i="24"/>
  <c r="O610" i="24" s="1"/>
  <c r="N615" i="24"/>
  <c r="O615" i="24" s="1"/>
  <c r="N304" i="24"/>
  <c r="O304" i="24" s="1"/>
  <c r="N606" i="24"/>
  <c r="O606" i="24" s="1"/>
  <c r="N301" i="24"/>
  <c r="O301" i="24" s="1"/>
  <c r="N1005" i="24"/>
  <c r="O1005" i="24" s="1"/>
  <c r="N1012" i="24"/>
  <c r="O1012" i="24" s="1"/>
  <c r="N1363" i="24"/>
  <c r="O1363" i="24" s="1"/>
  <c r="N294" i="24"/>
  <c r="O294" i="24" s="1"/>
  <c r="N223" i="24"/>
  <c r="O223" i="24" s="1"/>
  <c r="N305" i="24"/>
  <c r="O305" i="24" s="1"/>
  <c r="N902" i="24"/>
  <c r="O902" i="24" s="1"/>
  <c r="N941" i="24"/>
  <c r="O941" i="24" s="1"/>
  <c r="N604" i="24"/>
  <c r="N612" i="24"/>
  <c r="O612" i="24" s="1"/>
  <c r="N208" i="24"/>
  <c r="O208" i="24" s="1"/>
  <c r="N603" i="24"/>
  <c r="O603" i="24" s="1"/>
  <c r="N885" i="24"/>
  <c r="O885" i="24" s="1"/>
  <c r="N1438" i="24"/>
  <c r="O1438" i="24" s="1"/>
  <c r="N550" i="24"/>
  <c r="O550" i="24" s="1"/>
  <c r="N599" i="24"/>
  <c r="O599" i="24" s="1"/>
  <c r="N552" i="24"/>
  <c r="O552" i="24" s="1"/>
  <c r="N1361" i="24"/>
  <c r="N596" i="24"/>
  <c r="O596" i="24" s="1"/>
  <c r="N593" i="24"/>
  <c r="O593" i="24" s="1"/>
  <c r="N884" i="24"/>
  <c r="O884" i="24" s="1"/>
  <c r="N965" i="24"/>
  <c r="O965" i="24" s="1"/>
  <c r="N942" i="24"/>
  <c r="O942" i="24" s="1"/>
  <c r="N350" i="24"/>
  <c r="O350" i="24" s="1"/>
  <c r="N686" i="24"/>
  <c r="O686" i="24" s="1"/>
  <c r="N774" i="24"/>
  <c r="O774" i="24" s="1"/>
  <c r="N1316" i="24"/>
  <c r="O1316" i="24" s="1"/>
  <c r="O1437" i="24"/>
  <c r="N1436" i="24"/>
  <c r="O1436" i="24" s="1"/>
  <c r="N922" i="24"/>
  <c r="O922" i="24" s="1"/>
  <c r="N1219" i="24"/>
  <c r="O1219" i="24" s="1"/>
  <c r="N497" i="24"/>
  <c r="O497" i="24" s="1"/>
  <c r="N757" i="24"/>
  <c r="O757" i="24" s="1"/>
  <c r="N682" i="24"/>
  <c r="O682" i="24" s="1"/>
  <c r="O1435" i="24"/>
  <c r="O1339" i="24"/>
  <c r="N1140" i="24"/>
  <c r="O1140" i="24" s="1"/>
  <c r="N1434" i="24"/>
  <c r="O1434" i="24" s="1"/>
  <c r="O1433" i="24"/>
  <c r="N1282" i="24"/>
  <c r="O1282" i="24" s="1"/>
  <c r="N730" i="24"/>
  <c r="O730" i="24" s="1"/>
  <c r="N967" i="24"/>
  <c r="O967" i="24" s="1"/>
  <c r="N878" i="24"/>
  <c r="O878" i="24" s="1"/>
  <c r="O483" i="24"/>
  <c r="O785" i="24"/>
  <c r="O1432" i="24"/>
  <c r="N1053" i="24"/>
  <c r="O1053" i="24" s="1"/>
  <c r="O783" i="24"/>
  <c r="N958" i="24"/>
  <c r="O958" i="24" s="1"/>
  <c r="N1307" i="24"/>
  <c r="O1307" i="24" s="1"/>
  <c r="O481" i="24"/>
  <c r="N1264" i="24"/>
  <c r="O1264" i="24" s="1"/>
  <c r="N607" i="24"/>
  <c r="O607" i="24" s="1"/>
  <c r="O1430" i="24"/>
  <c r="O1429" i="24"/>
  <c r="O1428" i="24"/>
  <c r="O1427" i="24"/>
  <c r="O1426" i="24"/>
  <c r="O1424" i="24"/>
  <c r="O1423" i="24"/>
  <c r="O1422" i="24"/>
  <c r="O1420" i="24"/>
  <c r="O1419" i="24"/>
  <c r="O1416" i="24"/>
  <c r="O1415" i="24"/>
  <c r="O1414" i="24"/>
  <c r="O1413" i="24"/>
  <c r="O1412" i="24"/>
  <c r="O1411" i="24"/>
  <c r="O1410" i="24"/>
  <c r="O1409" i="24"/>
  <c r="O1408" i="24"/>
  <c r="O1407" i="24"/>
  <c r="O1406" i="24"/>
  <c r="O1405" i="24"/>
  <c r="O1404" i="24"/>
  <c r="O1403" i="24"/>
  <c r="O1402" i="24"/>
  <c r="O1401" i="24"/>
  <c r="O1400" i="24"/>
  <c r="O1399" i="24"/>
  <c r="O1398" i="24"/>
  <c r="O1397" i="24"/>
  <c r="O1396" i="24"/>
  <c r="O1395" i="24"/>
  <c r="O1394" i="24"/>
  <c r="O1393" i="24"/>
  <c r="O1392" i="24"/>
  <c r="O1391" i="24"/>
  <c r="O1390" i="24"/>
  <c r="O1389" i="24"/>
  <c r="O1388" i="24"/>
  <c r="O1387" i="24"/>
  <c r="O1386" i="24"/>
  <c r="O1385" i="24"/>
  <c r="O1384" i="24"/>
  <c r="O1383" i="24"/>
  <c r="O1382" i="24"/>
  <c r="O1380" i="24"/>
  <c r="O1379" i="24"/>
  <c r="O1378" i="24"/>
  <c r="O1377" i="24"/>
  <c r="O1376" i="24"/>
  <c r="O1375" i="24"/>
  <c r="O1374" i="24"/>
  <c r="O1373" i="24"/>
  <c r="O1372" i="24"/>
  <c r="O1371" i="24"/>
  <c r="O1370" i="24"/>
  <c r="O1369" i="24"/>
  <c r="O1368" i="24"/>
  <c r="O1349" i="24"/>
  <c r="O1347" i="24"/>
  <c r="O1346" i="24"/>
  <c r="O1345" i="24"/>
  <c r="O1344" i="24"/>
  <c r="O1343" i="24"/>
  <c r="O1341" i="24"/>
  <c r="O1340" i="24"/>
  <c r="O1335" i="24"/>
  <c r="O1334" i="24"/>
  <c r="O1333" i="24"/>
  <c r="O1332" i="24"/>
  <c r="O1331" i="24"/>
  <c r="O1329" i="24"/>
  <c r="O1326" i="24"/>
  <c r="O1325" i="24"/>
  <c r="O1324" i="24"/>
  <c r="O1323" i="24"/>
  <c r="O1322" i="24"/>
  <c r="O1321" i="24"/>
  <c r="O1320" i="24"/>
  <c r="O1319" i="24"/>
  <c r="O1318" i="24"/>
  <c r="O1317" i="24"/>
  <c r="O1315" i="24"/>
  <c r="O1313" i="24"/>
  <c r="O1312" i="24"/>
  <c r="O1311" i="24"/>
  <c r="O1310" i="24"/>
  <c r="O1308" i="24"/>
  <c r="O1306" i="24"/>
  <c r="O1305" i="24"/>
  <c r="O1304" i="24"/>
  <c r="O1303" i="24"/>
  <c r="O1302" i="24"/>
  <c r="O1300" i="24"/>
  <c r="O1299" i="24"/>
  <c r="O1296" i="24"/>
  <c r="O1295" i="24"/>
  <c r="O1294" i="24"/>
  <c r="O1293" i="24"/>
  <c r="O1292" i="24"/>
  <c r="O1291" i="24"/>
  <c r="O1290" i="24"/>
  <c r="O1289" i="24"/>
  <c r="O1288" i="24"/>
  <c r="O1287" i="24"/>
  <c r="O1286" i="24"/>
  <c r="O1281" i="24"/>
  <c r="O1280" i="24"/>
  <c r="O1279" i="24"/>
  <c r="O1278" i="24"/>
  <c r="O1277" i="24"/>
  <c r="O1276" i="24"/>
  <c r="O1275" i="24"/>
  <c r="O1274" i="24"/>
  <c r="O1273" i="24"/>
  <c r="O1272" i="24"/>
  <c r="O1271" i="24"/>
  <c r="O1270" i="24"/>
  <c r="O1269" i="24"/>
  <c r="O1268" i="24"/>
  <c r="O1267" i="24"/>
  <c r="O1266" i="24"/>
  <c r="O1265" i="24"/>
  <c r="O1263" i="24"/>
  <c r="O1262" i="24"/>
  <c r="O1261" i="24"/>
  <c r="O1260" i="24"/>
  <c r="O1257" i="24"/>
  <c r="O1254" i="24"/>
  <c r="O1253" i="24"/>
  <c r="O1251" i="24"/>
  <c r="O1250" i="24"/>
  <c r="O1248" i="24"/>
  <c r="O1246" i="24"/>
  <c r="O1245" i="24"/>
  <c r="O1244" i="24"/>
  <c r="O1243" i="24"/>
  <c r="O1242" i="24"/>
  <c r="O1240" i="24"/>
  <c r="O1239" i="24"/>
  <c r="O1238" i="24"/>
  <c r="O1237" i="24"/>
  <c r="O1236" i="24"/>
  <c r="O1235" i="24"/>
  <c r="O1233" i="24"/>
  <c r="O1231" i="24"/>
  <c r="O1230" i="24"/>
  <c r="O1229" i="24"/>
  <c r="O1228" i="24"/>
  <c r="O1227" i="24"/>
  <c r="O1225" i="24"/>
  <c r="O1224" i="24"/>
  <c r="O1223" i="24"/>
  <c r="O1218" i="24"/>
  <c r="O1214" i="24"/>
  <c r="O1213" i="24"/>
  <c r="O1212" i="24"/>
  <c r="O1211" i="24"/>
  <c r="O1210" i="24"/>
  <c r="O1209" i="24"/>
  <c r="O1208" i="24"/>
  <c r="O1207" i="24"/>
  <c r="O1206" i="24"/>
  <c r="O1205" i="24"/>
  <c r="O1203" i="24"/>
  <c r="O1198" i="24"/>
  <c r="O1197" i="24"/>
  <c r="O1196" i="24"/>
  <c r="O1195" i="24"/>
  <c r="O1194" i="24"/>
  <c r="O1193" i="24"/>
  <c r="O1192" i="24"/>
  <c r="O1191" i="24"/>
  <c r="O1190" i="24"/>
  <c r="O1189" i="24"/>
  <c r="O1187" i="24"/>
  <c r="O1186" i="24"/>
  <c r="O1183" i="24"/>
  <c r="O1182" i="24"/>
  <c r="O1181" i="24"/>
  <c r="O1180" i="24"/>
  <c r="O1179" i="24"/>
  <c r="O1177" i="24"/>
  <c r="O1176" i="24"/>
  <c r="O1175" i="24"/>
  <c r="O1174" i="24"/>
  <c r="O1173" i="24"/>
  <c r="O1172" i="24"/>
  <c r="O1170" i="24"/>
  <c r="O1167" i="24"/>
  <c r="O1166" i="24"/>
  <c r="O1165" i="24"/>
  <c r="O1162" i="24"/>
  <c r="O1161" i="24"/>
  <c r="O1160" i="24"/>
  <c r="O1159" i="24"/>
  <c r="O1158" i="24"/>
  <c r="O1157" i="24"/>
  <c r="O1156" i="24"/>
  <c r="O1154" i="24"/>
  <c r="O1152" i="24"/>
  <c r="O1151" i="24"/>
  <c r="O1149" i="24"/>
  <c r="O1148" i="24"/>
  <c r="O1145" i="24"/>
  <c r="O1144" i="24"/>
  <c r="O1141" i="24"/>
  <c r="O1138" i="24"/>
  <c r="O1137" i="24"/>
  <c r="O1134" i="24"/>
  <c r="O1133" i="24"/>
  <c r="O1132" i="24"/>
  <c r="O1131" i="24"/>
  <c r="O1129" i="24"/>
  <c r="O1126" i="24"/>
  <c r="O1124" i="24"/>
  <c r="O1123" i="24"/>
  <c r="O1122" i="24"/>
  <c r="O1121" i="24"/>
  <c r="O1120" i="24"/>
  <c r="O1119" i="24"/>
  <c r="O1118" i="24"/>
  <c r="O1117" i="24"/>
  <c r="O1116" i="24"/>
  <c r="O1115" i="24"/>
  <c r="O1114" i="24"/>
  <c r="O1113" i="24"/>
  <c r="O1112" i="24"/>
  <c r="O1110" i="24"/>
  <c r="O1109" i="24"/>
  <c r="O1108" i="24"/>
  <c r="O1107" i="24"/>
  <c r="O1106" i="24"/>
  <c r="O1105" i="24"/>
  <c r="O1104" i="24"/>
  <c r="O1103" i="24"/>
  <c r="O1102" i="24"/>
  <c r="O1101" i="24"/>
  <c r="O1100" i="24"/>
  <c r="O1099" i="24"/>
  <c r="O1098" i="24"/>
  <c r="O1097" i="24"/>
  <c r="O1096" i="24"/>
  <c r="O1093" i="24"/>
  <c r="O1092" i="24"/>
  <c r="O1091" i="24"/>
  <c r="O1089" i="24"/>
  <c r="O1087" i="24"/>
  <c r="O1086" i="24"/>
  <c r="O1085" i="24"/>
  <c r="O1081" i="24"/>
  <c r="O1079" i="24"/>
  <c r="O1078" i="24"/>
  <c r="O1077" i="24"/>
  <c r="O1076" i="24"/>
  <c r="O1075" i="24"/>
  <c r="O1074" i="24"/>
  <c r="O1073" i="24"/>
  <c r="O1072" i="24"/>
  <c r="O1071" i="24"/>
  <c r="O1070" i="24"/>
  <c r="O1069" i="24"/>
  <c r="O1068" i="24"/>
  <c r="O1067" i="24"/>
  <c r="O1066" i="24"/>
  <c r="O1065" i="24"/>
  <c r="O1064" i="24"/>
  <c r="O1063" i="24"/>
  <c r="O1062" i="24"/>
  <c r="O1061" i="24"/>
  <c r="O1060" i="24"/>
  <c r="O1058" i="24"/>
  <c r="O1057" i="24"/>
  <c r="O1056" i="24"/>
  <c r="O1055" i="24"/>
  <c r="O1054" i="24"/>
  <c r="O1051" i="24"/>
  <c r="O1049" i="24"/>
  <c r="O1046" i="24"/>
  <c r="O1045" i="24"/>
  <c r="O1044" i="24"/>
  <c r="O1043" i="24"/>
  <c r="O1042" i="24"/>
  <c r="O1041" i="24"/>
  <c r="O1040" i="24"/>
  <c r="O1038" i="24"/>
  <c r="O1037" i="24"/>
  <c r="O1036" i="24"/>
  <c r="O1035" i="24"/>
  <c r="O1034" i="24"/>
  <c r="O1033" i="24"/>
  <c r="O1032" i="24"/>
  <c r="O1031" i="24"/>
  <c r="O1030" i="24"/>
  <c r="O1029" i="24"/>
  <c r="O1028" i="24"/>
  <c r="O1027" i="24"/>
  <c r="O1026" i="24"/>
  <c r="O1025" i="24"/>
  <c r="O1023" i="24"/>
  <c r="O1022" i="24"/>
  <c r="O1021" i="24"/>
  <c r="O1020" i="24"/>
  <c r="O1019" i="24"/>
  <c r="O1018" i="24"/>
  <c r="O1017" i="24"/>
  <c r="O1016" i="24"/>
  <c r="O1015" i="24"/>
  <c r="O1014" i="24"/>
  <c r="O1013" i="24"/>
  <c r="O1010" i="24"/>
  <c r="O1009" i="24"/>
  <c r="O1008" i="24"/>
  <c r="O1007" i="24"/>
  <c r="O1006" i="24"/>
  <c r="O1004" i="24"/>
  <c r="O1002" i="24"/>
  <c r="O1001" i="24"/>
  <c r="O1000" i="24"/>
  <c r="O999" i="24"/>
  <c r="O998" i="24"/>
  <c r="O997" i="24"/>
  <c r="O994" i="24"/>
  <c r="O992" i="24"/>
  <c r="O991" i="24"/>
  <c r="O990" i="24"/>
  <c r="O989" i="24"/>
  <c r="O988" i="24"/>
  <c r="O987" i="24"/>
  <c r="O986" i="24"/>
  <c r="O985" i="24"/>
  <c r="O984" i="24"/>
  <c r="O982" i="24"/>
  <c r="O979" i="24"/>
  <c r="O978" i="24"/>
  <c r="O977" i="24"/>
  <c r="O975" i="24"/>
  <c r="O974" i="24"/>
  <c r="O972" i="24"/>
  <c r="O971" i="24"/>
  <c r="O970" i="24"/>
  <c r="O969" i="24"/>
  <c r="O968" i="24"/>
  <c r="O966" i="24"/>
  <c r="O964" i="24"/>
  <c r="O963" i="24"/>
  <c r="O962" i="24"/>
  <c r="O961" i="24"/>
  <c r="O959" i="24"/>
  <c r="O956" i="24"/>
  <c r="O955" i="24"/>
  <c r="O954" i="24"/>
  <c r="O953" i="24"/>
  <c r="O952" i="24"/>
  <c r="O951" i="24"/>
  <c r="O950" i="24"/>
  <c r="O949" i="24"/>
  <c r="O948" i="24"/>
  <c r="O947" i="24"/>
  <c r="O946" i="24"/>
  <c r="O945" i="24"/>
  <c r="O944" i="24"/>
  <c r="O940" i="24"/>
  <c r="O939" i="24"/>
  <c r="O938" i="24"/>
  <c r="O937" i="24"/>
  <c r="O936" i="24"/>
  <c r="O935" i="24"/>
  <c r="O934" i="24"/>
  <c r="O932" i="24"/>
  <c r="O930" i="24"/>
  <c r="O929" i="24"/>
  <c r="O928" i="24"/>
  <c r="O926" i="24"/>
  <c r="O925" i="24"/>
  <c r="O924" i="24"/>
  <c r="O919" i="24"/>
  <c r="O918" i="24"/>
  <c r="O917" i="24"/>
  <c r="O915" i="24"/>
  <c r="O914" i="24"/>
  <c r="O913" i="24"/>
  <c r="O912" i="24"/>
  <c r="O911" i="24"/>
  <c r="O910" i="24"/>
  <c r="O909" i="24"/>
  <c r="O908" i="24"/>
  <c r="O907" i="24"/>
  <c r="O906" i="24"/>
  <c r="O905" i="24"/>
  <c r="O904" i="24"/>
  <c r="O903" i="24"/>
  <c r="O897" i="24"/>
  <c r="O896" i="24"/>
  <c r="O895" i="24"/>
  <c r="O894" i="24"/>
  <c r="O893" i="24"/>
  <c r="O892" i="24"/>
  <c r="O891" i="24"/>
  <c r="O890" i="24"/>
  <c r="O883" i="24"/>
  <c r="O881" i="24"/>
  <c r="O877" i="24"/>
  <c r="O873" i="24"/>
  <c r="O871" i="24"/>
  <c r="O870" i="24"/>
  <c r="O869" i="24"/>
  <c r="O868" i="24"/>
  <c r="O867" i="24"/>
  <c r="O866" i="24"/>
  <c r="O865" i="24"/>
  <c r="O864" i="24"/>
  <c r="O863" i="24"/>
  <c r="O862" i="24"/>
  <c r="O861" i="24"/>
  <c r="O860" i="24"/>
  <c r="O859" i="24"/>
  <c r="O858" i="24"/>
  <c r="O857" i="24"/>
  <c r="O856" i="24"/>
  <c r="O854" i="24"/>
  <c r="O853" i="24"/>
  <c r="O852" i="24"/>
  <c r="O850" i="24"/>
  <c r="O849" i="24"/>
  <c r="O848" i="24"/>
  <c r="O846" i="24"/>
  <c r="O845" i="24"/>
  <c r="O839" i="24"/>
  <c r="O838" i="24"/>
  <c r="O836" i="24"/>
  <c r="O834" i="24"/>
  <c r="O833" i="24"/>
  <c r="O832" i="24"/>
  <c r="O831" i="24"/>
  <c r="O830" i="24"/>
  <c r="O829" i="24"/>
  <c r="O828" i="24"/>
  <c r="O824" i="24"/>
  <c r="O821" i="24"/>
  <c r="O819" i="24"/>
  <c r="O818" i="24"/>
  <c r="O816" i="24"/>
  <c r="O815" i="24"/>
  <c r="O814" i="24"/>
  <c r="O813" i="24"/>
  <c r="O812" i="24"/>
  <c r="O811" i="24"/>
  <c r="O810" i="24"/>
  <c r="O809" i="24"/>
  <c r="O808" i="24"/>
  <c r="O806" i="24"/>
  <c r="O805" i="24"/>
  <c r="O803" i="24"/>
  <c r="O800" i="24"/>
  <c r="O799" i="24"/>
  <c r="O796" i="24"/>
  <c r="O794" i="24"/>
  <c r="O791" i="24"/>
  <c r="O786" i="24"/>
  <c r="O784" i="24"/>
  <c r="O781" i="24"/>
  <c r="O780" i="24"/>
  <c r="O778" i="24"/>
  <c r="O777" i="24"/>
  <c r="O773" i="24"/>
  <c r="O772" i="24"/>
  <c r="O771" i="24"/>
  <c r="O768" i="24"/>
  <c r="O765" i="24"/>
  <c r="O763" i="24"/>
  <c r="O762" i="24"/>
  <c r="O759" i="24"/>
  <c r="O758" i="24"/>
  <c r="O755" i="24"/>
  <c r="O752" i="24"/>
  <c r="O746" i="24"/>
  <c r="O743" i="24"/>
  <c r="O742" i="24"/>
  <c r="O739" i="24"/>
  <c r="O738" i="24"/>
  <c r="O733" i="24"/>
  <c r="O731" i="24"/>
  <c r="O726" i="24"/>
  <c r="O724" i="24"/>
  <c r="O723" i="24"/>
  <c r="O722" i="24"/>
  <c r="O721" i="24"/>
  <c r="O720" i="24"/>
  <c r="O719" i="24"/>
  <c r="O718" i="24"/>
  <c r="O717" i="24"/>
  <c r="O716" i="24"/>
  <c r="O714" i="24"/>
  <c r="O713" i="24"/>
  <c r="O712" i="24"/>
  <c r="O711" i="24"/>
  <c r="O710" i="24"/>
  <c r="O708" i="24"/>
  <c r="O704" i="24"/>
  <c r="O703" i="24"/>
  <c r="O699" i="24"/>
  <c r="O697" i="24"/>
  <c r="O694" i="24"/>
  <c r="O685" i="24"/>
  <c r="O683" i="24"/>
  <c r="O681" i="24"/>
  <c r="O680" i="24"/>
  <c r="O679" i="24"/>
  <c r="O678" i="24"/>
  <c r="O677" i="24"/>
  <c r="O676" i="24"/>
  <c r="O675" i="24"/>
  <c r="O674" i="24"/>
  <c r="O673" i="24"/>
  <c r="O672" i="24"/>
  <c r="O671" i="24"/>
  <c r="O670" i="24"/>
  <c r="O669" i="24"/>
  <c r="O668" i="24"/>
  <c r="O667" i="24"/>
  <c r="O666" i="24"/>
  <c r="O665" i="24"/>
  <c r="O664" i="24"/>
  <c r="O661" i="24"/>
  <c r="O658" i="24"/>
  <c r="O654" i="24"/>
  <c r="O653" i="24"/>
  <c r="O652" i="24"/>
  <c r="O649" i="24"/>
  <c r="O648" i="24"/>
  <c r="O647" i="24"/>
  <c r="O646" i="24"/>
  <c r="O645" i="24"/>
  <c r="O644" i="24"/>
  <c r="O642" i="24"/>
  <c r="O641" i="24"/>
  <c r="O640" i="24"/>
  <c r="O639" i="24"/>
  <c r="O638" i="24"/>
  <c r="O637" i="24"/>
  <c r="O636" i="24"/>
  <c r="O635" i="24"/>
  <c r="O634" i="24"/>
  <c r="O633" i="24"/>
  <c r="O632" i="24"/>
  <c r="O631" i="24"/>
  <c r="O630" i="24"/>
  <c r="O627" i="24"/>
  <c r="O626" i="24"/>
  <c r="O625" i="24"/>
  <c r="O624" i="24"/>
  <c r="O623" i="24"/>
  <c r="O622" i="24"/>
  <c r="O621" i="24"/>
  <c r="O620" i="24"/>
  <c r="O619" i="24"/>
  <c r="O618" i="24"/>
  <c r="O617" i="24"/>
  <c r="O616" i="24"/>
  <c r="O608" i="24"/>
  <c r="O604" i="24"/>
  <c r="O600" i="24"/>
  <c r="O591" i="24"/>
  <c r="O588" i="24"/>
  <c r="O586" i="24"/>
  <c r="O585" i="24"/>
  <c r="O584" i="24"/>
  <c r="O581" i="24"/>
  <c r="O580" i="24"/>
  <c r="O578" i="24"/>
  <c r="O577" i="24"/>
  <c r="O576" i="24"/>
  <c r="O573" i="24"/>
  <c r="O572" i="24"/>
  <c r="O571" i="24"/>
  <c r="O570" i="24"/>
  <c r="O569" i="24"/>
  <c r="O568" i="24"/>
  <c r="O567" i="24"/>
  <c r="O566" i="24"/>
  <c r="O565" i="24"/>
  <c r="O563" i="24"/>
  <c r="O562" i="24"/>
  <c r="O561" i="24"/>
  <c r="O560" i="24"/>
  <c r="O558" i="24"/>
  <c r="O557" i="24"/>
  <c r="O556" i="24"/>
  <c r="O555" i="24"/>
  <c r="O554" i="24"/>
  <c r="O548" i="24"/>
  <c r="O547" i="24"/>
  <c r="O545" i="24"/>
  <c r="O544" i="24"/>
  <c r="O541" i="24"/>
  <c r="O536" i="24"/>
  <c r="O532" i="24"/>
  <c r="O531" i="24"/>
  <c r="O530" i="24"/>
  <c r="O529" i="24"/>
  <c r="O528" i="24"/>
  <c r="O527" i="24"/>
  <c r="O526" i="24"/>
  <c r="O525" i="24"/>
  <c r="O523" i="24"/>
  <c r="O520" i="24"/>
  <c r="O519" i="24"/>
  <c r="O518" i="24"/>
  <c r="O517" i="24"/>
  <c r="O515" i="24"/>
  <c r="O514" i="24"/>
  <c r="O513" i="24"/>
  <c r="O512" i="24"/>
  <c r="O510" i="24"/>
  <c r="O509" i="24"/>
  <c r="O508" i="24"/>
  <c r="O507" i="24"/>
  <c r="O506" i="24"/>
  <c r="O505" i="24"/>
  <c r="O504" i="24"/>
  <c r="O502" i="24"/>
  <c r="O501" i="24"/>
  <c r="O499" i="24"/>
  <c r="O496" i="24"/>
  <c r="O495" i="24"/>
  <c r="O491" i="24"/>
  <c r="O490" i="24"/>
  <c r="O489" i="24"/>
  <c r="O482" i="24"/>
  <c r="O480" i="24"/>
  <c r="O479" i="24"/>
  <c r="O478" i="24"/>
  <c r="O477" i="24"/>
  <c r="O476" i="24"/>
  <c r="O475" i="24"/>
  <c r="O474" i="24"/>
  <c r="O473" i="24"/>
  <c r="O472" i="24"/>
  <c r="O471" i="24"/>
  <c r="O470" i="24"/>
  <c r="O469" i="24"/>
  <c r="O468" i="24"/>
  <c r="O466" i="24"/>
  <c r="O465" i="24"/>
  <c r="O464" i="24"/>
  <c r="O463" i="24"/>
  <c r="O462" i="24"/>
  <c r="O461" i="24"/>
  <c r="O460" i="24"/>
  <c r="O458" i="24"/>
  <c r="O457" i="24"/>
  <c r="O456" i="24"/>
  <c r="O454" i="24"/>
  <c r="O453" i="24"/>
  <c r="O452" i="24"/>
  <c r="O451" i="24"/>
  <c r="O450" i="24"/>
  <c r="O448" i="24"/>
  <c r="O447" i="24"/>
  <c r="O446" i="24"/>
  <c r="O444" i="24"/>
  <c r="O443" i="24"/>
  <c r="O442" i="24"/>
  <c r="O441" i="24"/>
  <c r="O440" i="24"/>
  <c r="O439" i="24"/>
  <c r="O438" i="24"/>
  <c r="O437" i="24"/>
  <c r="O436" i="24"/>
  <c r="O435" i="24"/>
  <c r="O434" i="24"/>
  <c r="O433" i="24"/>
  <c r="O431" i="24"/>
  <c r="O430" i="24"/>
  <c r="O429" i="24"/>
  <c r="O428" i="24"/>
  <c r="O426" i="24"/>
  <c r="O425" i="24"/>
  <c r="O424" i="24"/>
  <c r="O423" i="24"/>
  <c r="O422" i="24"/>
  <c r="O421" i="24"/>
  <c r="O420" i="24"/>
  <c r="O419" i="24"/>
  <c r="O418" i="24"/>
  <c r="O415" i="24"/>
  <c r="O414" i="24"/>
  <c r="O413" i="24"/>
  <c r="O412" i="24"/>
  <c r="O411" i="24"/>
  <c r="O410" i="24"/>
  <c r="O409" i="24"/>
  <c r="O408" i="24"/>
  <c r="O407" i="24"/>
  <c r="O405" i="24"/>
  <c r="O404" i="24"/>
  <c r="O403" i="24"/>
  <c r="O401" i="24"/>
  <c r="O400" i="24"/>
  <c r="O399" i="24"/>
  <c r="O398" i="24"/>
  <c r="O397" i="24"/>
  <c r="O396" i="24"/>
  <c r="O395" i="24"/>
  <c r="O394" i="24"/>
  <c r="O393" i="24"/>
  <c r="O392" i="24"/>
  <c r="O391" i="24"/>
  <c r="O390" i="24"/>
  <c r="O388" i="24"/>
  <c r="O387" i="24"/>
  <c r="O385" i="24"/>
  <c r="O384" i="24"/>
  <c r="O383" i="24"/>
  <c r="O379" i="24"/>
  <c r="O378" i="24"/>
  <c r="O377" i="24"/>
  <c r="O376" i="24"/>
  <c r="O373" i="24"/>
  <c r="O372" i="24"/>
  <c r="O370" i="24"/>
  <c r="O369" i="24"/>
  <c r="O368" i="24"/>
  <c r="O367" i="24"/>
  <c r="O366" i="24"/>
  <c r="O364" i="24"/>
  <c r="O360" i="24"/>
  <c r="O359" i="24"/>
  <c r="O358" i="24"/>
  <c r="O357" i="24"/>
  <c r="O356" i="24"/>
  <c r="O355" i="24"/>
  <c r="O354" i="24"/>
  <c r="O353" i="24"/>
  <c r="O352" i="24"/>
  <c r="O351" i="24"/>
  <c r="O347" i="24"/>
  <c r="O345" i="24"/>
  <c r="O344" i="24"/>
  <c r="O343" i="24"/>
  <c r="O341" i="24"/>
  <c r="O340" i="24"/>
  <c r="O338" i="24"/>
  <c r="O337" i="24"/>
  <c r="O336" i="24"/>
  <c r="O334" i="24"/>
  <c r="O332" i="24"/>
  <c r="O331" i="24"/>
  <c r="O330" i="24"/>
  <c r="O329" i="24"/>
  <c r="O328" i="24"/>
  <c r="O327" i="24"/>
  <c r="O326" i="24"/>
  <c r="O325" i="24"/>
  <c r="O324" i="24"/>
  <c r="O323" i="24"/>
  <c r="O321" i="24"/>
  <c r="O320" i="24"/>
  <c r="O318" i="24"/>
  <c r="O317" i="24"/>
  <c r="O316" i="24"/>
  <c r="O315" i="24"/>
  <c r="O314" i="24"/>
  <c r="O313" i="24"/>
  <c r="O312" i="24"/>
  <c r="O311" i="24"/>
  <c r="O309" i="24"/>
  <c r="O308" i="24"/>
  <c r="O303" i="24"/>
  <c r="O300" i="24"/>
  <c r="O297" i="24"/>
  <c r="O296" i="24"/>
  <c r="O295" i="24"/>
  <c r="O292" i="24"/>
  <c r="O291" i="24"/>
  <c r="O290" i="24"/>
  <c r="O289" i="24"/>
  <c r="O288" i="24"/>
  <c r="O285" i="24"/>
  <c r="O284" i="24"/>
  <c r="O282" i="24"/>
  <c r="O281" i="24"/>
  <c r="O280" i="24"/>
  <c r="O279" i="24"/>
  <c r="O278" i="24"/>
  <c r="O277" i="24"/>
  <c r="O276" i="24"/>
  <c r="O275" i="24"/>
  <c r="O274" i="24"/>
  <c r="O273" i="24"/>
  <c r="O272" i="24"/>
  <c r="O271" i="24"/>
  <c r="O270" i="24"/>
  <c r="O269" i="24"/>
  <c r="O268" i="24"/>
  <c r="O265" i="24"/>
  <c r="O264" i="24"/>
  <c r="O263" i="24"/>
  <c r="O262" i="24"/>
  <c r="O261" i="24"/>
  <c r="O260" i="24"/>
  <c r="O259" i="24"/>
  <c r="O257" i="24"/>
  <c r="O256" i="24"/>
  <c r="O255" i="24"/>
  <c r="O253" i="24"/>
  <c r="O252" i="24"/>
  <c r="O250" i="24"/>
  <c r="O249" i="24"/>
  <c r="O248" i="24"/>
  <c r="O247" i="24"/>
  <c r="O245" i="24"/>
  <c r="O244" i="24"/>
  <c r="O243" i="24"/>
  <c r="O242" i="24"/>
  <c r="O241" i="24"/>
  <c r="O240" i="24"/>
  <c r="O237" i="24"/>
  <c r="O235" i="24"/>
  <c r="O234" i="24"/>
  <c r="O233" i="24"/>
  <c r="O232" i="24"/>
  <c r="O231" i="24"/>
  <c r="O230" i="24"/>
  <c r="O229" i="24"/>
  <c r="O228" i="24"/>
  <c r="O227" i="24"/>
  <c r="O225" i="24"/>
  <c r="O224" i="24"/>
  <c r="O221" i="24"/>
  <c r="O219" i="24"/>
  <c r="O218" i="24"/>
  <c r="O217" i="24"/>
  <c r="O216" i="24"/>
  <c r="O213" i="24"/>
  <c r="O212" i="24"/>
  <c r="O209" i="24"/>
  <c r="O207" i="24"/>
  <c r="O206" i="24"/>
  <c r="O205" i="24"/>
  <c r="O204" i="24"/>
  <c r="O203" i="24"/>
  <c r="O202" i="24"/>
  <c r="O201" i="24"/>
  <c r="O200" i="24"/>
  <c r="O198" i="24"/>
  <c r="O195" i="24"/>
  <c r="O194" i="24"/>
  <c r="O193" i="24"/>
  <c r="O191" i="24"/>
  <c r="O190" i="24"/>
  <c r="O189" i="24"/>
  <c r="O187" i="24"/>
  <c r="O186" i="24"/>
  <c r="O185" i="24"/>
  <c r="O183" i="24"/>
  <c r="O182" i="24"/>
  <c r="O181" i="24"/>
  <c r="O180" i="24"/>
  <c r="O179" i="24"/>
  <c r="O178" i="24"/>
  <c r="O177" i="24"/>
  <c r="O176" i="24"/>
  <c r="O175" i="24"/>
  <c r="O174" i="24"/>
  <c r="O173" i="24"/>
  <c r="O171" i="24"/>
  <c r="O170" i="24"/>
  <c r="O169" i="24"/>
  <c r="O168" i="24"/>
  <c r="O166" i="24"/>
  <c r="O165" i="24"/>
  <c r="O164" i="24"/>
  <c r="O163" i="24"/>
  <c r="O162" i="24"/>
  <c r="O161" i="24"/>
  <c r="O160" i="24"/>
  <c r="O157" i="24"/>
  <c r="O156" i="24"/>
  <c r="O155" i="24"/>
  <c r="O154" i="24"/>
  <c r="O153" i="24"/>
  <c r="O152" i="24"/>
  <c r="O151" i="24"/>
  <c r="O150" i="24"/>
  <c r="O149" i="24"/>
  <c r="O148" i="24"/>
  <c r="O147" i="24"/>
  <c r="O146" i="24"/>
  <c r="O145" i="24"/>
  <c r="O144" i="24"/>
  <c r="O143" i="24"/>
  <c r="O142" i="24"/>
  <c r="O141" i="24"/>
  <c r="O140" i="24"/>
  <c r="O139" i="24"/>
  <c r="O138" i="24"/>
  <c r="O137" i="24"/>
  <c r="O136" i="24"/>
  <c r="O135" i="24"/>
  <c r="O134" i="24"/>
  <c r="O133" i="24"/>
  <c r="O130" i="24"/>
  <c r="O128" i="24"/>
  <c r="O127" i="24"/>
  <c r="O126" i="24"/>
  <c r="O125" i="24"/>
  <c r="O124" i="24"/>
  <c r="O123" i="24"/>
  <c r="O122" i="24"/>
  <c r="O121" i="24"/>
  <c r="O119" i="24"/>
  <c r="O118" i="24"/>
  <c r="O117" i="24"/>
  <c r="O115" i="24"/>
  <c r="O114" i="24"/>
  <c r="O113" i="24"/>
  <c r="O112" i="24"/>
  <c r="O111" i="24"/>
  <c r="O110" i="24"/>
  <c r="O109" i="24"/>
  <c r="O108" i="24"/>
  <c r="O107" i="24"/>
  <c r="O106" i="24"/>
  <c r="O105" i="24"/>
  <c r="O104" i="24"/>
  <c r="O101" i="24"/>
  <c r="O99" i="24"/>
  <c r="O98" i="24"/>
  <c r="O97" i="24"/>
  <c r="O96" i="24"/>
  <c r="O94" i="24"/>
  <c r="O92" i="24"/>
  <c r="O91" i="24"/>
  <c r="O90" i="24"/>
  <c r="O89" i="24"/>
  <c r="O87" i="24"/>
  <c r="O86" i="24"/>
  <c r="O85" i="24"/>
  <c r="O84" i="24"/>
  <c r="O82" i="24"/>
  <c r="O80" i="24"/>
  <c r="O79" i="24"/>
  <c r="O78" i="24"/>
  <c r="O77" i="24"/>
  <c r="O75" i="24"/>
  <c r="O74" i="24"/>
  <c r="O72" i="24"/>
  <c r="O70" i="24"/>
  <c r="O69" i="24"/>
  <c r="O68" i="24"/>
  <c r="O67" i="24"/>
  <c r="O65" i="24"/>
  <c r="O64" i="24"/>
  <c r="O63" i="24"/>
  <c r="O62" i="24"/>
  <c r="O61" i="24"/>
  <c r="O60" i="24"/>
  <c r="O59" i="24"/>
  <c r="O57" i="24"/>
  <c r="O56" i="24"/>
  <c r="O55" i="24"/>
  <c r="O54" i="24"/>
  <c r="O53" i="24"/>
  <c r="O52" i="24"/>
  <c r="O51" i="24"/>
  <c r="O50" i="24"/>
  <c r="O48" i="24"/>
  <c r="O46" i="24"/>
  <c r="O45" i="24"/>
  <c r="O44" i="24"/>
  <c r="O43" i="24"/>
  <c r="O42" i="24"/>
  <c r="O40" i="24"/>
  <c r="O39" i="24"/>
  <c r="O38" i="24"/>
  <c r="O37" i="24"/>
  <c r="O36" i="24"/>
  <c r="O34" i="24"/>
  <c r="O33" i="24"/>
  <c r="O30" i="24"/>
  <c r="O29" i="24"/>
  <c r="O28" i="24"/>
  <c r="O27" i="24"/>
  <c r="O26" i="24"/>
  <c r="O25" i="24"/>
  <c r="O24" i="24"/>
  <c r="O23" i="24"/>
  <c r="O21" i="24"/>
  <c r="O20" i="24"/>
  <c r="O19" i="24"/>
  <c r="O18" i="24"/>
  <c r="O17" i="24"/>
  <c r="O16" i="24"/>
  <c r="O13" i="24"/>
  <c r="O12" i="24"/>
  <c r="O11" i="24"/>
  <c r="O10" i="24"/>
  <c r="O8" i="24"/>
  <c r="O7" i="24"/>
  <c r="O1365" i="24"/>
  <c r="O1364" i="24"/>
  <c r="O1362" i="24"/>
  <c r="O1361" i="24"/>
  <c r="O1354" i="24"/>
  <c r="O1353" i="24"/>
  <c r="O1352" i="24"/>
  <c r="O1351" i="24"/>
  <c r="O1350" i="24"/>
  <c r="O467" i="24" l="1"/>
  <c r="N32" i="24"/>
  <c r="O32" i="24" s="1"/>
  <c r="N1204" i="24"/>
  <c r="O1204" i="24" s="1"/>
  <c r="N543" i="24"/>
  <c r="O543" i="24" s="1"/>
  <c r="O1178" i="24"/>
  <c r="N1153" i="24"/>
  <c r="O1153" i="24" s="1"/>
  <c r="N628" i="24"/>
  <c r="O628" i="24" s="1"/>
  <c r="O1169" i="24"/>
  <c r="N1222" i="24"/>
  <c r="O1222" i="24" s="1"/>
  <c r="N47" i="24"/>
  <c r="O47" i="24" s="1"/>
  <c r="N1147" i="24"/>
  <c r="O1147" i="24" s="1"/>
  <c r="O766" i="24"/>
  <c r="N880" i="24"/>
  <c r="O880" i="24" s="1"/>
  <c r="O1155" i="24"/>
  <c r="O820" i="24"/>
  <c r="N921" i="24"/>
  <c r="O921" i="24" s="1"/>
  <c r="O485" i="24"/>
  <c r="N1348" i="24"/>
  <c r="O1348" i="24" s="1"/>
  <c r="N1202" i="24"/>
  <c r="O1202" i="24" s="1"/>
  <c r="N1199" i="24"/>
  <c r="O1199" i="24" s="1"/>
  <c r="N1188" i="24"/>
  <c r="O1188" i="24" s="1"/>
  <c r="N1217" i="24"/>
  <c r="O1217" i="24" s="1"/>
  <c r="N1249" i="24"/>
  <c r="O1249" i="24" s="1"/>
  <c r="N1200" i="24"/>
  <c r="O1200" i="24" s="1"/>
  <c r="N1252" i="24"/>
  <c r="O1252" i="24" s="1"/>
  <c r="N795" i="24"/>
  <c r="O795" i="24" s="1"/>
  <c r="N744" i="24"/>
  <c r="O744" i="24" s="1"/>
  <c r="N333" i="24"/>
  <c r="O333" i="24" s="1"/>
  <c r="N732" i="24"/>
  <c r="O732" i="24" s="1"/>
  <c r="N382" i="24"/>
  <c r="O382" i="24" s="1"/>
  <c r="O1342" i="24"/>
  <c r="O1171" i="24"/>
  <c r="O747" i="24"/>
  <c r="O790" i="24"/>
  <c r="O779" i="24"/>
  <c r="N129" i="24"/>
  <c r="O129" i="24" s="1"/>
  <c r="O1216" i="24"/>
  <c r="N322" i="24"/>
  <c r="O322" i="24" s="1"/>
  <c r="N459" i="24"/>
  <c r="O459" i="24" s="1"/>
  <c r="N874" i="24"/>
  <c r="O874" i="24" s="1"/>
  <c r="N286" i="24"/>
  <c r="O286" i="24" s="1"/>
  <c r="O770" i="24"/>
  <c r="N1337" i="24" l="1"/>
  <c r="O1337" i="24" s="1"/>
  <c r="N1338" i="24"/>
  <c r="O1338" i="24" s="1"/>
  <c r="O643" i="24"/>
  <c r="N1336" i="24"/>
  <c r="O1336" i="24" s="1"/>
  <c r="N793" i="24"/>
  <c r="O793" i="24" s="1"/>
  <c r="N888" i="24"/>
  <c r="O888" i="24" s="1"/>
  <c r="O900" i="24"/>
  <c r="N875" i="24"/>
  <c r="O875" i="24" s="1"/>
  <c r="O889" i="24"/>
  <c r="N933" i="24"/>
  <c r="O933" i="24" s="1"/>
  <c r="N1221" i="24"/>
  <c r="O1221" i="24" s="1"/>
  <c r="O498" i="24"/>
  <c r="N741" i="24"/>
  <c r="O741" i="24" s="1"/>
  <c r="N1234" i="24"/>
  <c r="O1234" i="24" s="1"/>
  <c r="O887" i="24"/>
  <c r="N882" i="24"/>
  <c r="O882" i="24" s="1"/>
  <c r="N751" i="24"/>
  <c r="O751" i="24" s="1"/>
  <c r="N656" i="24"/>
  <c r="O656" i="24" s="1"/>
  <c r="O1201" i="24"/>
  <c r="O957" i="24"/>
  <c r="N696" i="24"/>
  <c r="O696" i="24" s="1"/>
  <c r="N601" i="24"/>
  <c r="O601" i="24" s="1"/>
  <c r="N524" i="24"/>
  <c r="O524" i="24" s="1"/>
  <c r="N775" i="24"/>
  <c r="O775" i="24" s="1"/>
  <c r="N539" i="24"/>
  <c r="O539" i="24" s="1"/>
  <c r="O542" i="24"/>
  <c r="N1143" i="24"/>
  <c r="O1143" i="24" s="1"/>
  <c r="N898" i="24"/>
  <c r="O898" i="24" s="1"/>
  <c r="N749" i="24"/>
  <c r="O749" i="24" s="1"/>
  <c r="N1083" i="24"/>
  <c r="O1083" i="24" s="1"/>
  <c r="N976" i="24"/>
  <c r="O976" i="24" s="1"/>
  <c r="N511" i="24"/>
  <c r="O511" i="24" s="1"/>
  <c r="O973" i="24"/>
  <c r="N589" i="24"/>
  <c r="O589" i="24" s="1"/>
  <c r="O609" i="24"/>
  <c r="N748" i="24"/>
  <c r="O748" i="24" s="1"/>
  <c r="O740" i="24"/>
  <c r="N745" i="24"/>
  <c r="O745" i="24" s="1"/>
  <c r="O923" i="24"/>
  <c r="N535" i="24"/>
  <c r="O535" i="24" s="1"/>
  <c r="N1059" i="24"/>
  <c r="O1059" i="24" s="1"/>
  <c r="N886" i="24"/>
  <c r="O886" i="24" s="1"/>
  <c r="O691" i="24"/>
  <c r="N753" i="24"/>
  <c r="O753" i="24" s="1"/>
  <c r="N73" i="24"/>
  <c r="O73" i="24" s="1"/>
  <c r="O698" i="24"/>
  <c r="N840" i="24"/>
  <c r="O840" i="24" s="1"/>
  <c r="O782" i="24"/>
  <c r="N1052" i="24" l="1"/>
  <c r="O1052" i="24" s="1"/>
  <c r="N1301" i="24"/>
  <c r="O1301" i="24" s="1"/>
  <c r="N346" i="24"/>
  <c r="O346" i="24" s="1"/>
  <c r="N15" i="24"/>
  <c r="O15" i="24" s="1"/>
  <c r="N1135" i="24"/>
  <c r="O1135" i="24" s="1"/>
  <c r="N1298" i="24"/>
  <c r="O1298" i="24" s="1"/>
  <c r="N1297" i="24"/>
  <c r="O1297" i="24" s="1"/>
  <c r="N1130" i="24"/>
  <c r="O1130" i="24" s="1"/>
  <c r="N1184" i="24"/>
  <c r="O1184" i="24" s="1"/>
  <c r="N1024" i="24"/>
  <c r="O1024" i="24" s="1"/>
  <c r="N310" i="24"/>
  <c r="O310" i="24" s="1"/>
  <c r="N931" i="24"/>
  <c r="O931" i="24" s="1"/>
  <c r="O534" i="24"/>
  <c r="N826" i="24"/>
  <c r="O826" i="24" s="1"/>
  <c r="N238" i="24"/>
  <c r="O238" i="24" s="1"/>
  <c r="O307" i="24"/>
  <c r="O787" i="24"/>
  <c r="N500" i="24"/>
  <c r="O500" i="24" s="1"/>
  <c r="N605" i="24"/>
  <c r="O605" i="24" s="1"/>
  <c r="N983" i="24"/>
  <c r="O983" i="24" s="1"/>
  <c r="N287" i="24"/>
  <c r="O287" i="24" s="1"/>
  <c r="N1215" i="24"/>
  <c r="O1215" i="24" s="1"/>
  <c r="N841" i="24"/>
  <c r="O841" i="24" s="1"/>
  <c r="N842" i="24"/>
  <c r="O842" i="24" s="1"/>
  <c r="N267" i="24"/>
  <c r="O267" i="24" s="1"/>
  <c r="O559" i="24"/>
  <c r="N804" i="24"/>
  <c r="O804" i="24" s="1"/>
  <c r="N192" i="24"/>
  <c r="O192" i="24" s="1"/>
  <c r="N1259" i="24"/>
  <c r="O1259" i="24" s="1"/>
  <c r="N1088" i="24"/>
  <c r="O1088" i="24" s="1"/>
  <c r="N402" i="24"/>
  <c r="O402" i="24" s="1"/>
  <c r="N1258" i="24"/>
  <c r="O1258" i="24" s="1"/>
  <c r="N688" i="24"/>
  <c r="O688" i="24" s="1"/>
  <c r="O737" i="24"/>
  <c r="O872" i="24"/>
  <c r="N540" i="24"/>
  <c r="O540" i="24" s="1"/>
  <c r="O6" i="24"/>
  <c r="N1047" i="24"/>
  <c r="O1047" i="24" s="1"/>
  <c r="N575" i="24"/>
  <c r="O575" i="24" s="1"/>
  <c r="O789" i="24"/>
  <c r="N1163" i="24"/>
  <c r="O1163" i="24" s="1"/>
  <c r="N1082" i="24"/>
  <c r="O1082" i="24" s="1"/>
  <c r="N1080" i="24"/>
  <c r="O1080" i="24" s="1"/>
  <c r="N266" i="24"/>
  <c r="O266" i="24" s="1"/>
  <c r="N1050" i="24"/>
  <c r="O1050" i="24" s="1"/>
  <c r="O916" i="24"/>
  <c r="N899" i="24"/>
  <c r="O899" i="24" s="1"/>
  <c r="N879" i="24"/>
  <c r="O879" i="24" s="1"/>
  <c r="N876" i="24"/>
  <c r="O876" i="24" s="1"/>
  <c r="N847" i="24"/>
  <c r="O847" i="24" s="1"/>
  <c r="O736" i="24"/>
  <c r="N1150" i="24"/>
  <c r="O1150" i="24" s="1"/>
  <c r="N335" i="24"/>
  <c r="O335" i="24" s="1"/>
  <c r="N389" i="24"/>
  <c r="O389" i="24" s="1"/>
  <c r="O1185" i="24"/>
  <c r="N158" i="24"/>
  <c r="O158" i="24" s="1"/>
  <c r="N920" i="24"/>
  <c r="O920" i="24" s="1"/>
  <c r="N1127" i="24"/>
  <c r="O1127" i="24" s="1"/>
  <c r="N116" i="24"/>
  <c r="O116" i="24" s="1"/>
  <c r="N1168" i="24"/>
  <c r="O1168" i="24" s="1"/>
  <c r="N120" i="24"/>
  <c r="O120" i="24" s="1"/>
  <c r="N76" i="24"/>
  <c r="O76" i="24" s="1"/>
  <c r="O487" i="24"/>
  <c r="N705" i="24"/>
  <c r="O705" i="24" s="1"/>
  <c r="N659" i="24"/>
  <c r="O659" i="24" s="1"/>
  <c r="N14" i="24"/>
  <c r="O167" i="24"/>
  <c r="N981" i="24"/>
  <c r="O981" i="24" s="1"/>
  <c r="N843" i="24"/>
  <c r="O843" i="24" s="1"/>
  <c r="N761" i="24"/>
  <c r="O761" i="24" s="1"/>
  <c r="O1136" i="24"/>
  <c r="N1128" i="24"/>
  <c r="O1128" i="24" s="1"/>
  <c r="N769" i="24"/>
  <c r="O769" i="24" s="1"/>
  <c r="N574" i="24"/>
  <c r="O574" i="24" s="1"/>
  <c r="N837" i="24"/>
  <c r="O837" i="24" s="1"/>
  <c r="N246" i="24"/>
  <c r="O246" i="24" s="1"/>
  <c r="N196" i="24"/>
  <c r="O196" i="24" s="1"/>
  <c r="N306" i="24"/>
  <c r="O306" i="24" s="1"/>
  <c r="N695" i="24"/>
  <c r="O695" i="24" s="1"/>
  <c r="O788" i="24"/>
  <c r="O210" i="24"/>
  <c r="O980" i="24"/>
  <c r="N960" i="24"/>
  <c r="O960" i="24" s="1"/>
  <c r="N817" i="24"/>
  <c r="O817" i="24" s="1"/>
  <c r="O553" i="24"/>
  <c r="N715" i="24"/>
  <c r="O715" i="24" s="1"/>
  <c r="N690" i="24"/>
  <c r="O690" i="24" s="1"/>
  <c r="N549" i="24"/>
  <c r="O549" i="24" s="1"/>
  <c r="N1084" i="24"/>
  <c r="O1084" i="24" s="1"/>
  <c r="N835" i="24"/>
  <c r="O835" i="24" s="1"/>
  <c r="N692" i="24"/>
  <c r="O692" i="24" s="1"/>
  <c r="N386" i="24"/>
  <c r="O386" i="24" s="1"/>
  <c r="O734" i="24"/>
  <c r="N684" i="24"/>
  <c r="O684" i="24" s="1"/>
  <c r="N100" i="24"/>
  <c r="O100" i="24" s="1"/>
  <c r="N35" i="24"/>
  <c r="O35" i="24" s="1"/>
  <c r="N754" i="24"/>
  <c r="O754" i="24" s="1"/>
  <c r="N449" i="24"/>
  <c r="O449" i="24" s="1"/>
  <c r="N564" i="24"/>
  <c r="O564" i="24" s="1"/>
  <c r="N807" i="24"/>
  <c r="O807" i="24" s="1"/>
  <c r="N851" i="24"/>
  <c r="O851" i="24" s="1"/>
  <c r="N1003" i="24"/>
  <c r="O1003" i="24" s="1"/>
  <c r="N693" i="24"/>
  <c r="O693" i="24" s="1"/>
  <c r="O14" i="24" l="1"/>
  <c r="N1048" i="24"/>
  <c r="O1048" i="24" s="1"/>
  <c r="N1139" i="24"/>
  <c r="O1139" i="24" s="1"/>
  <c r="N503" i="24"/>
  <c r="O503" i="24" s="1"/>
  <c r="N214" i="24" l="1"/>
  <c r="O214" i="24" s="1"/>
  <c r="N361" i="24"/>
  <c r="O361" i="24" s="1"/>
  <c r="N651" i="24"/>
  <c r="O651" i="24" s="1"/>
  <c r="N375" i="24"/>
  <c r="O375" i="24" s="1"/>
  <c r="N363" i="24"/>
  <c r="O363" i="24" s="1"/>
  <c r="O31" i="24"/>
  <c r="O602" i="24"/>
  <c r="N374" i="24"/>
  <c r="O374" i="24" s="1"/>
  <c r="O484" i="24"/>
  <c r="O614" i="24"/>
  <c r="N159" i="24"/>
  <c r="O159" i="24" s="1"/>
  <c r="N1111" i="24"/>
  <c r="O1111" i="24" s="1"/>
  <c r="N662" i="24"/>
  <c r="O662" i="24" s="1"/>
  <c r="N417" i="24"/>
  <c r="O417" i="24" s="1"/>
  <c r="N663" i="24"/>
  <c r="O663" i="24" s="1"/>
  <c r="O41" i="24"/>
  <c r="N239" i="24"/>
  <c r="O239" i="24" s="1"/>
  <c r="O582" i="24"/>
  <c r="N660" i="24"/>
  <c r="O660" i="24" s="1"/>
  <c r="N319" i="24"/>
  <c r="O319" i="24" s="1"/>
  <c r="N583" i="24"/>
  <c r="O583" i="24" s="1"/>
  <c r="N802" i="24"/>
  <c r="O802" i="24" s="1"/>
  <c r="N427" i="24"/>
  <c r="O427" i="24" s="1"/>
  <c r="N521" i="24"/>
  <c r="O521" i="24" s="1"/>
  <c r="N587" i="24"/>
  <c r="O587" i="24" s="1"/>
  <c r="N1142" i="24"/>
  <c r="O1142" i="24" s="1"/>
  <c r="N996" i="24"/>
  <c r="O996" i="24" s="1"/>
  <c r="N855" i="24"/>
  <c r="O855" i="24" s="1"/>
  <c r="O706" i="24"/>
  <c r="N1095" i="24"/>
  <c r="O1095" i="24" s="1"/>
  <c r="O533" i="24"/>
  <c r="N1039" i="24"/>
  <c r="O1039" i="24" s="1"/>
  <c r="N729" i="24"/>
  <c r="O729" i="24" s="1"/>
  <c r="N1125" i="24"/>
  <c r="O1125" i="24" s="1"/>
  <c r="N728" i="24"/>
  <c r="O728" i="24" s="1"/>
  <c r="N1146" i="24"/>
  <c r="N1090" i="24"/>
  <c r="O1090" i="24" s="1"/>
  <c r="O792" i="24"/>
  <c r="N1094" i="24"/>
  <c r="O1094" i="24" s="1"/>
  <c r="N995" i="24"/>
  <c r="O995" i="24" s="1"/>
  <c r="O1146" i="24" l="1"/>
  <c r="O49" i="24"/>
  <c r="N22" i="24" l="1"/>
  <c r="N236" i="24"/>
  <c r="O236" i="24" s="1"/>
  <c r="O702" i="24"/>
  <c r="N339" i="24"/>
  <c r="O339" i="24" s="1"/>
  <c r="O760" i="24"/>
  <c r="N380" i="24"/>
  <c r="O380" i="24" s="1"/>
  <c r="O220" i="24"/>
  <c r="O22" i="24" l="1"/>
  <c r="N492" i="24"/>
  <c r="O492" i="24" s="1"/>
  <c r="N844" i="24"/>
  <c r="O844" i="24" s="1"/>
  <c r="O537" i="24"/>
  <c r="N701" i="24"/>
  <c r="O701" i="24" s="1"/>
  <c r="N546" i="24"/>
  <c r="O546" i="24" s="1"/>
  <c r="N365" i="24"/>
  <c r="O365" i="24" s="1"/>
  <c r="N215" i="24"/>
  <c r="O215" i="24" s="1"/>
  <c r="N93" i="24"/>
  <c r="O93" i="24" s="1"/>
  <c r="N657" i="24"/>
  <c r="O657" i="24" s="1"/>
  <c r="N455" i="24" l="1"/>
  <c r="O455" i="24" s="1"/>
  <c r="N131" i="24"/>
  <c r="O131" i="24" s="1"/>
  <c r="N488" i="24"/>
  <c r="O488" i="24" s="1"/>
  <c r="N132" i="24" l="1"/>
  <c r="O132" i="24" s="1"/>
  <c r="N381" i="24"/>
  <c r="O381" i="24" s="1"/>
  <c r="N735" i="24"/>
  <c r="O735" i="24" s="1"/>
  <c r="N595" i="24"/>
  <c r="O595" i="24" s="1"/>
  <c r="O597" i="24"/>
  <c r="N827" i="24"/>
  <c r="O827" i="24" s="1"/>
  <c r="N579" i="24"/>
  <c r="O579" i="24" s="1"/>
  <c r="N750" i="24"/>
  <c r="O750" i="24" s="1"/>
  <c r="N226" i="24"/>
  <c r="O226" i="24" s="1"/>
  <c r="N594" i="24" l="1"/>
  <c r="O594" i="24" s="1"/>
  <c r="O95" i="24"/>
  <c r="N362" i="24"/>
  <c r="O362" i="24" s="1"/>
  <c r="N298" i="24"/>
  <c r="O298" i="24" s="1"/>
  <c r="N342" i="24"/>
  <c r="O342" i="24" s="1"/>
  <c r="N764" i="24"/>
  <c r="O764" i="24" s="1"/>
  <c r="N88" i="24"/>
  <c r="O88" i="24" s="1"/>
  <c r="N494" i="24"/>
  <c r="O494" i="24" s="1"/>
  <c r="N211" i="24" l="1"/>
  <c r="O211" i="24" s="1"/>
  <c r="N349" i="24"/>
  <c r="O349" i="24" s="1"/>
  <c r="N283" i="24"/>
  <c r="O283" i="24" s="1"/>
  <c r="N650" i="24"/>
  <c r="O650" i="24" s="1"/>
  <c r="N432" i="24"/>
  <c r="O432" i="24" s="1"/>
  <c r="N197" i="24"/>
  <c r="O197" i="24" s="1"/>
  <c r="N254" i="24"/>
  <c r="O254" i="24" s="1"/>
  <c r="N445" i="24"/>
  <c r="O445" i="24" s="1"/>
  <c r="N66" i="24"/>
  <c r="O103" i="24"/>
  <c r="N293" i="24"/>
  <c r="O293" i="24" s="1"/>
  <c r="O613" i="24"/>
  <c r="O251" i="24"/>
  <c r="O188" i="24"/>
  <c r="N199" i="24"/>
  <c r="O199" i="24" s="1"/>
  <c r="O66" i="24" l="1"/>
  <c r="N348" i="24"/>
  <c r="O348" i="24" s="1"/>
  <c r="N222" i="24"/>
  <c r="O222" i="24" s="1"/>
  <c r="O522" i="24"/>
  <c r="N709" i="24"/>
  <c r="O709" i="24" s="1"/>
  <c r="N416" i="24"/>
  <c r="O416" i="24" s="1"/>
  <c r="N102" i="24"/>
  <c r="O102" i="24" s="1"/>
  <c r="N629" i="24"/>
  <c r="O629" i="24" s="1"/>
  <c r="N592" i="24"/>
  <c r="O592" i="24" s="1"/>
  <c r="N516" i="24" l="1"/>
  <c r="O516" i="24" l="1"/>
  <c r="O71" i="24"/>
</calcChain>
</file>

<file path=xl/sharedStrings.xml><?xml version="1.0" encoding="utf-8"?>
<sst xmlns="http://schemas.openxmlformats.org/spreadsheetml/2006/main" count="17973" uniqueCount="6969">
  <si>
    <t>Department of Economic Development and Commerce</t>
  </si>
  <si>
    <t>Contract #</t>
  </si>
  <si>
    <t>FIE/FEDE/Act 60</t>
  </si>
  <si>
    <t>Municipality</t>
  </si>
  <si>
    <t>INCENT FEDE</t>
  </si>
  <si>
    <t>INCENT ESP</t>
  </si>
  <si>
    <t>Contract</t>
  </si>
  <si>
    <t>FE-2019-2020-0065</t>
  </si>
  <si>
    <t>2020-000462</t>
  </si>
  <si>
    <t>LAURA R. FONTANES GOMEZ</t>
  </si>
  <si>
    <t>2020-000430-A</t>
  </si>
  <si>
    <t xml:space="preserve">EVERTEC GROUP LLC </t>
  </si>
  <si>
    <t>2020-000418-A</t>
  </si>
  <si>
    <t>PUERTO RICO ECONOMIC DEV. CO., LLC</t>
  </si>
  <si>
    <t>2020-000317-B</t>
  </si>
  <si>
    <t>KEVANE GRANT THORNTON, LLC</t>
  </si>
  <si>
    <t>2021-000091</t>
  </si>
  <si>
    <t>2020-000404-B</t>
  </si>
  <si>
    <t>V2A, LLC</t>
  </si>
  <si>
    <t>FIE-2019-2020-IIP-0021</t>
  </si>
  <si>
    <t>2020-000112</t>
  </si>
  <si>
    <t>CENTRO CULTURAL DE COROZAL, INC.</t>
  </si>
  <si>
    <t>2020-000117</t>
  </si>
  <si>
    <t xml:space="preserve">RIOS GARCIA, MARITSSA </t>
  </si>
  <si>
    <t>2020-000118</t>
  </si>
  <si>
    <t>CARLOS DIAZ LEON</t>
  </si>
  <si>
    <t>2020-000119</t>
  </si>
  <si>
    <t>RAMIREZ STARK, CINDY</t>
  </si>
  <si>
    <t>2020-000120</t>
  </si>
  <si>
    <t>LOPEZ PAGAN, NORASHLEY N.</t>
  </si>
  <si>
    <t>2020-000121</t>
  </si>
  <si>
    <t>CARMEN M. RENTA GUTIERREZ</t>
  </si>
  <si>
    <t>2020-000122</t>
  </si>
  <si>
    <t xml:space="preserve">RIVERA ORTIZ, ANA W. </t>
  </si>
  <si>
    <t>2020-000123</t>
  </si>
  <si>
    <t>ELIZABETH WESTERBAND NIEVES</t>
  </si>
  <si>
    <t>2020-000124</t>
  </si>
  <si>
    <t>BORRERO FRATICELLI, MILAGROS</t>
  </si>
  <si>
    <t>2020-000125</t>
  </si>
  <si>
    <t>PEREZ TORRES, JACKELINE</t>
  </si>
  <si>
    <t>2020-000126</t>
  </si>
  <si>
    <t>JORGE A. ROMERO NAVEDO</t>
  </si>
  <si>
    <t>2020-000127</t>
  </si>
  <si>
    <t>LABOY MOCTEZUMA, ISSAC</t>
  </si>
  <si>
    <t>2020-000151</t>
  </si>
  <si>
    <t>MUNICIPIO DE VEGA BAJA</t>
  </si>
  <si>
    <t>2020-000153</t>
  </si>
  <si>
    <t>ROSADO MONTALVO, ROSA M.</t>
  </si>
  <si>
    <t>2020-000176</t>
  </si>
  <si>
    <t>EL DEPORTIVO RENTAL &amp; CATERING, INC.</t>
  </si>
  <si>
    <t>2020-000178</t>
  </si>
  <si>
    <t>ROJESIE, INC.</t>
  </si>
  <si>
    <t>2020-000179</t>
  </si>
  <si>
    <t>PANADERIA LA SEVILLANA, INC.</t>
  </si>
  <si>
    <t>2020-000184</t>
  </si>
  <si>
    <t>JAMALU RENTAL, INC</t>
  </si>
  <si>
    <t>2020-000189</t>
  </si>
  <si>
    <t>MUNICIPIO DE LARES</t>
  </si>
  <si>
    <t>2020-000190</t>
  </si>
  <si>
    <t>7.29 EVENTS CORP.</t>
  </si>
  <si>
    <t>2020-000211</t>
  </si>
  <si>
    <t xml:space="preserve">CENTRO CULTURAL JAYUYANO </t>
  </si>
  <si>
    <t>2020-000223</t>
  </si>
  <si>
    <t>2020-000224</t>
  </si>
  <si>
    <t>MUNICIPIO DE AGUADA</t>
  </si>
  <si>
    <t>2020-000249</t>
  </si>
  <si>
    <t>FALCON ALVAREZ, MAYRA J.</t>
  </si>
  <si>
    <t>2020-000248</t>
  </si>
  <si>
    <t>CENTRO CULTURAL DR MANUEL QUEVEDO BAEZ</t>
  </si>
  <si>
    <t>2020-000268</t>
  </si>
  <si>
    <t>LA MAISON SUISSE</t>
  </si>
  <si>
    <t>2020-000269</t>
  </si>
  <si>
    <t>2020-000262</t>
  </si>
  <si>
    <t>NEGRON BAEZ, MANUEL</t>
  </si>
  <si>
    <t>2020-000263</t>
  </si>
  <si>
    <t>NAZARIO PADILLA, JOSE O.</t>
  </si>
  <si>
    <t>2020-000264</t>
  </si>
  <si>
    <t>RIVERA SANTIAGO, HECTOR L.</t>
  </si>
  <si>
    <t>2020-000265</t>
  </si>
  <si>
    <t>CRUZ SANTIAGO, ROBERTO</t>
  </si>
  <si>
    <t>2020-000266</t>
  </si>
  <si>
    <t>NUNEZ LUNA, RICARDO</t>
  </si>
  <si>
    <t>2020-000275</t>
  </si>
  <si>
    <t>2020-000276</t>
  </si>
  <si>
    <t>2020-000277</t>
  </si>
  <si>
    <t xml:space="preserve">CORIANO SANCHEZ, DAVID </t>
  </si>
  <si>
    <t>2020-000279</t>
  </si>
  <si>
    <t>LOPEZ RUIZ, GABRIEL</t>
  </si>
  <si>
    <t>2020-000280</t>
  </si>
  <si>
    <t>CASA DE LA CULTURA ISABELINA, INC.</t>
  </si>
  <si>
    <t>2020-000281</t>
  </si>
  <si>
    <t>MUNICIPIO DE CAMUY</t>
  </si>
  <si>
    <t>2020-000302</t>
  </si>
  <si>
    <t>2020-000308</t>
  </si>
  <si>
    <t>2020-000309</t>
  </si>
  <si>
    <t>2020-000303</t>
  </si>
  <si>
    <t>CRUZ GONZALEZ, JAIME</t>
  </si>
  <si>
    <t>2020-000379</t>
  </si>
  <si>
    <t>2020-000380</t>
  </si>
  <si>
    <t>MUNICIPIO DE LAS PIEDRAS</t>
  </si>
  <si>
    <t>2020-000381</t>
  </si>
  <si>
    <t>2020-000385</t>
  </si>
  <si>
    <t>2020-000386</t>
  </si>
  <si>
    <t>2020-000387</t>
  </si>
  <si>
    <t>2020-000388</t>
  </si>
  <si>
    <t>2020-000389</t>
  </si>
  <si>
    <t>DE JESUS DE JESUS, RICARDO</t>
  </si>
  <si>
    <t>2020-000390</t>
  </si>
  <si>
    <t>2020-000391</t>
  </si>
  <si>
    <t>2020-000392</t>
  </si>
  <si>
    <t>2020-000393</t>
  </si>
  <si>
    <t>RODRIGUEZ RIOS, ROBOAM</t>
  </si>
  <si>
    <t>2020-000396</t>
  </si>
  <si>
    <t>BLUE LAGOON CAFE, INC.</t>
  </si>
  <si>
    <t>2020-000400</t>
  </si>
  <si>
    <t>FIE-2019-2020-IIP-0022</t>
  </si>
  <si>
    <t>2020-000152</t>
  </si>
  <si>
    <t xml:space="preserve">DIAZ COLON, ARLENNE </t>
  </si>
  <si>
    <t>2020-000256</t>
  </si>
  <si>
    <t>MOJICA ORTIZ, MARGARITA</t>
  </si>
  <si>
    <t>2020-000267</t>
  </si>
  <si>
    <t>COLON RIVERA, CARMEN</t>
  </si>
  <si>
    <t>2020-000273</t>
  </si>
  <si>
    <t>PEREZ CHILENO, ALBINO</t>
  </si>
  <si>
    <t>2020-000278</t>
  </si>
  <si>
    <t>OCASIO CALO, ELIZABETH</t>
  </si>
  <si>
    <t>2020-000315</t>
  </si>
  <si>
    <t>MOYA DIAZ, JAIME</t>
  </si>
  <si>
    <t>2020-000395</t>
  </si>
  <si>
    <t>ANA TORRES MONTALVO</t>
  </si>
  <si>
    <t>FIE-2019-2020-IIP-0023</t>
  </si>
  <si>
    <t>2020-000240</t>
  </si>
  <si>
    <t>JACQUELINE TEJADA ALMONTE</t>
  </si>
  <si>
    <t>2020-000241</t>
  </si>
  <si>
    <t>VAZQUEZ TAPIA, TEDDY</t>
  </si>
  <si>
    <t>2020-000384</t>
  </si>
  <si>
    <t>VINCENTY LUGO, ELIZA</t>
  </si>
  <si>
    <t>2020-000376</t>
  </si>
  <si>
    <t xml:space="preserve">APONTE ZAYAS, CARMEN R. </t>
  </si>
  <si>
    <t>FIE-2019-2020-IIP-0025</t>
  </si>
  <si>
    <t>2020-000188</t>
  </si>
  <si>
    <t>EMPRESAS BARSAN, INC</t>
  </si>
  <si>
    <t>2020-000254</t>
  </si>
  <si>
    <t>KANDOR MFG., INC.</t>
  </si>
  <si>
    <t>2020-000260</t>
  </si>
  <si>
    <t>TROPICAL FRUIT SP</t>
  </si>
  <si>
    <t>2020-000307</t>
  </si>
  <si>
    <t>NEW MILLION CORP.</t>
  </si>
  <si>
    <t>FIE-2019-2020-IIP-0026</t>
  </si>
  <si>
    <t>2020-000183</t>
  </si>
  <si>
    <t>WOVENWARE, INC</t>
  </si>
  <si>
    <t>2020-000323</t>
  </si>
  <si>
    <t>TRIGO CORP</t>
  </si>
  <si>
    <t>2020-000374</t>
  </si>
  <si>
    <t>FUTURE PRODUCTS CORPORATION</t>
  </si>
  <si>
    <t>FE-2015-2016-0073</t>
  </si>
  <si>
    <t>2017-000115</t>
  </si>
  <si>
    <t>LIFESTYLE FOOTWEAR, INC.</t>
  </si>
  <si>
    <t>FE-2016-2017-0001</t>
  </si>
  <si>
    <t>FIDEICOMISO DE CIENCIA, TECNOLOGÍA E INVESTIGACIÓN DE PUERTO RICO</t>
  </si>
  <si>
    <t>FE-2016-2017-0002</t>
  </si>
  <si>
    <t>2017-000260</t>
  </si>
  <si>
    <t>INDUNIV</t>
  </si>
  <si>
    <t>FE-2016-2017-0004</t>
  </si>
  <si>
    <t>2017-000328</t>
  </si>
  <si>
    <t xml:space="preserve">ECO GREEN RECYCLE CORP. </t>
  </si>
  <si>
    <t>FE-2016-2017-0010</t>
  </si>
  <si>
    <t>2018-000057</t>
  </si>
  <si>
    <t>SIGN SOURCE CORPORATION</t>
  </si>
  <si>
    <t>FE-2016-2017-0016</t>
  </si>
  <si>
    <t>2017-000271</t>
  </si>
  <si>
    <t>COMPAÑIA DE FOMENTO INDUSTRIAL (PRIDCO)</t>
  </si>
  <si>
    <t>FE-2016-2017-0018</t>
  </si>
  <si>
    <t>2017-000442</t>
  </si>
  <si>
    <t>BECTON DICKINSON CARIBE LTD., INC.</t>
  </si>
  <si>
    <t>FE-2016-2017-0019</t>
  </si>
  <si>
    <t>2017-000441</t>
  </si>
  <si>
    <t>FE-2016-2017-0020</t>
  </si>
  <si>
    <t>2018-000177</t>
  </si>
  <si>
    <t>CARIBE HOLDINGS (CAYMAN) CO. LTD. - PURACAP</t>
  </si>
  <si>
    <t>FE-2016-2017-0021</t>
  </si>
  <si>
    <t>2018-000197</t>
  </si>
  <si>
    <t>FE-2016-2017-0024</t>
  </si>
  <si>
    <t>2017-000380-A</t>
  </si>
  <si>
    <t>3A PRESS, INC.</t>
  </si>
  <si>
    <t>FE-2016-2017-0026</t>
  </si>
  <si>
    <t>2018-000130-A</t>
  </si>
  <si>
    <t>UNIVERSIDAD INTERAMERICANA DE PR</t>
  </si>
  <si>
    <t>FE-2016-2017-0027</t>
  </si>
  <si>
    <t>FE-2016-2017-0028</t>
  </si>
  <si>
    <t>2017-000413</t>
  </si>
  <si>
    <t>YOUTH ENTREPRENEURSHIP EDUCATION SYSTEM</t>
  </si>
  <si>
    <t>FE-2016-2017-0029</t>
  </si>
  <si>
    <t>2018-000284-A</t>
  </si>
  <si>
    <t>RONES SUPERIORES DE PUERTO RICO &amp; CO., INC.</t>
  </si>
  <si>
    <t>FE-2016-2017-0032</t>
  </si>
  <si>
    <t>2019-000169</t>
  </si>
  <si>
    <t>PROPPER INTERNATIONAL, INC.</t>
  </si>
  <si>
    <t>FE-2016-2017-0033</t>
  </si>
  <si>
    <t>2017-000410-A</t>
  </si>
  <si>
    <t xml:space="preserve">TECHNICAL CONSULTING GROUP </t>
  </si>
  <si>
    <t>FE-2016-2017-0034</t>
  </si>
  <si>
    <t>2021-000026</t>
  </si>
  <si>
    <t>ESSENTRA PACKAGING PUERTO RICO, INC.</t>
  </si>
  <si>
    <t>FE-2016-2017-0035</t>
  </si>
  <si>
    <t>2021-000027</t>
  </si>
  <si>
    <t>FE-2016-2017-0037</t>
  </si>
  <si>
    <t>2018-000268-A</t>
  </si>
  <si>
    <t>SUIZA DAIRY CORPORATION</t>
  </si>
  <si>
    <t>FE-2016-2017-0038</t>
  </si>
  <si>
    <t>2018-000059</t>
  </si>
  <si>
    <t xml:space="preserve">BABSON COLLEGE </t>
  </si>
  <si>
    <t>FE-2016-2017-0041</t>
  </si>
  <si>
    <t>2018-000266</t>
  </si>
  <si>
    <t>SUIZA FRUIT CORPORATION</t>
  </si>
  <si>
    <t>FE-2016-2017-0042</t>
  </si>
  <si>
    <t>2018-000269</t>
  </si>
  <si>
    <t>FE-2016-2017-0043</t>
  </si>
  <si>
    <t>2018-000270</t>
  </si>
  <si>
    <t>FE-2016-2017-0044</t>
  </si>
  <si>
    <t>2018-000267</t>
  </si>
  <si>
    <t>FE-2016-2017-0045</t>
  </si>
  <si>
    <t>FE-2017-2018-0001</t>
  </si>
  <si>
    <t>2018-000184-A</t>
  </si>
  <si>
    <t>PRATT &amp; WHITNEY PUERTO RICO, INC</t>
  </si>
  <si>
    <t>FE-2017-2018-0003</t>
  </si>
  <si>
    <t>2018-000357</t>
  </si>
  <si>
    <t>CORPORACION PARA DESARROLLO DE INVESTIGACIONES</t>
  </si>
  <si>
    <t>FE-2017-2018-0004</t>
  </si>
  <si>
    <t>2018-000039-C</t>
  </si>
  <si>
    <t>VALDES, GARCIA, MARIN &amp; MARTINEZ, LLC</t>
  </si>
  <si>
    <t>FE-2017-2018-0005</t>
  </si>
  <si>
    <t>2018-000254</t>
  </si>
  <si>
    <t>ENTERPRIZE EVENTS, INC.</t>
  </si>
  <si>
    <t>FE-2017-2018-0006</t>
  </si>
  <si>
    <t>2018-000260</t>
  </si>
  <si>
    <t>FE-2017-2018-0007</t>
  </si>
  <si>
    <t>2018-000333-C</t>
  </si>
  <si>
    <t>UNIVERSIDAD DE PUERTO RICO- MAYAGUEZ</t>
  </si>
  <si>
    <t>FE-2017-2018-0008</t>
  </si>
  <si>
    <t>2019-000223</t>
  </si>
  <si>
    <t>JARDEN PLASTIC SOLUTIONS PUERTO RICO LLC</t>
  </si>
  <si>
    <t>FE-2017-2018-0009</t>
  </si>
  <si>
    <t>2019-000224</t>
  </si>
  <si>
    <t>FE-2017-2018-0010</t>
  </si>
  <si>
    <t>2018-000302</t>
  </si>
  <si>
    <t>CDI LABORATORIES, INC.</t>
  </si>
  <si>
    <t>FE-2017-2018-0011</t>
  </si>
  <si>
    <t>2018-000301</t>
  </si>
  <si>
    <t>FE-2017-2018-0012</t>
  </si>
  <si>
    <t>2018-000342</t>
  </si>
  <si>
    <t>CASA GRANDE INTERACTIVE COMMUNICATION</t>
  </si>
  <si>
    <t>FE-2017-2018-0013</t>
  </si>
  <si>
    <t>FE-2017-2018-0014</t>
  </si>
  <si>
    <t>MB SPORT INC.</t>
  </si>
  <si>
    <t>FE-2017-2018-0015</t>
  </si>
  <si>
    <t>2019-000190</t>
  </si>
  <si>
    <t xml:space="preserve">ENGINE-4 CORP </t>
  </si>
  <si>
    <t>FE-2017-2018-0016</t>
  </si>
  <si>
    <t>SELLBYTEL GROUP PUERTO RICO LLC</t>
  </si>
  <si>
    <t>FE-2017-2018-0017</t>
  </si>
  <si>
    <t>2020-000131</t>
  </si>
  <si>
    <t>LINKACTIV NORTH AMERICA, LLC</t>
  </si>
  <si>
    <t>FE-2017-2018-0018</t>
  </si>
  <si>
    <t>2020-000132</t>
  </si>
  <si>
    <t>FE-2017-2018-0019</t>
  </si>
  <si>
    <t>FE-2017-2018-0020</t>
  </si>
  <si>
    <t>FE-2017-2018-0021</t>
  </si>
  <si>
    <t>FE-2017-2018-0022</t>
  </si>
  <si>
    <t>2018-000348</t>
  </si>
  <si>
    <t>HONEYWELL AEROSPACE DE PR, INC.</t>
  </si>
  <si>
    <t>FE-2017-2018-0023</t>
  </si>
  <si>
    <t>2020-000185</t>
  </si>
  <si>
    <t>FE-2017-2018-0024</t>
  </si>
  <si>
    <t>CORPORACIÓN PARA EL DESARROLLO DE INVESTIGACIONES EN CIENCIAS Y TECNOLOGÍAS PONCE C.D.</t>
  </si>
  <si>
    <t>FE-2017-2018-0025</t>
  </si>
  <si>
    <t>2018-000346</t>
  </si>
  <si>
    <t>COPAN INDUSTRIES, INC.</t>
  </si>
  <si>
    <t>FE-2017-2018-0026</t>
  </si>
  <si>
    <t>2018-000347</t>
  </si>
  <si>
    <t>FE-2017-2018-0027</t>
  </si>
  <si>
    <t>2019-000482</t>
  </si>
  <si>
    <t>HAMILTON SUNDSTRAND DE PR INC.</t>
  </si>
  <si>
    <t>FE-2017-2018-0028</t>
  </si>
  <si>
    <t>2019-000226</t>
  </si>
  <si>
    <t>STRYKER PR, INC.</t>
  </si>
  <si>
    <t>FE-2017-2018-0029</t>
  </si>
  <si>
    <t>2019-000225-C</t>
  </si>
  <si>
    <t>FE-2017-2018-0031</t>
  </si>
  <si>
    <t>2018-000409-A</t>
  </si>
  <si>
    <t xml:space="preserve">GUIDANT PUERTO RICO BV </t>
  </si>
  <si>
    <t>FE-2017-2018-0032</t>
  </si>
  <si>
    <t>2019-000365</t>
  </si>
  <si>
    <t>JANSSEN CILAG MANUFACTURING LL</t>
  </si>
  <si>
    <t>FE-2017-2018-0033</t>
  </si>
  <si>
    <t>2019-000364</t>
  </si>
  <si>
    <t>FE-2017-2018-0034</t>
  </si>
  <si>
    <t>2019-000092</t>
  </si>
  <si>
    <t>AIR MASTER AWNING, LLC</t>
  </si>
  <si>
    <t>FE-2017-2018-0035</t>
  </si>
  <si>
    <t>2019-000093</t>
  </si>
  <si>
    <t>FE-2017-2018-0036</t>
  </si>
  <si>
    <t>2019-000086</t>
  </si>
  <si>
    <t>SQUARE KNOT CORP.</t>
  </si>
  <si>
    <t>FE-2017-2018-0038</t>
  </si>
  <si>
    <t>FE-2017-2018-0039</t>
  </si>
  <si>
    <t>FE-2017-2018-0040</t>
  </si>
  <si>
    <t>2019-000352</t>
  </si>
  <si>
    <t>M M MANUFACTURING, LLC</t>
  </si>
  <si>
    <t>FE-2017-2018-0041</t>
  </si>
  <si>
    <t>2019-000240</t>
  </si>
  <si>
    <t>NELIPAK PUERTO RICO, LLC</t>
  </si>
  <si>
    <t>FE-2017-2018-0042</t>
  </si>
  <si>
    <t>2019-000239</t>
  </si>
  <si>
    <t>FE-2017-2018-0043</t>
  </si>
  <si>
    <t>2019-000241</t>
  </si>
  <si>
    <t>FE-2017-2018-0044</t>
  </si>
  <si>
    <t>2019-000367-A</t>
  </si>
  <si>
    <t>VALMEG, LLC</t>
  </si>
  <si>
    <t>FE-2017-2018-0045</t>
  </si>
  <si>
    <t>2019-000368</t>
  </si>
  <si>
    <t>FE-2017-2018-0046</t>
  </si>
  <si>
    <t>2019-000106</t>
  </si>
  <si>
    <t>FE-2017-2018-0047</t>
  </si>
  <si>
    <t>2019-000402</t>
  </si>
  <si>
    <t>EDWARDS LIFESCIENCE TECHNOLOGY SARL</t>
  </si>
  <si>
    <t>FE-2017-2018-0048</t>
  </si>
  <si>
    <t>2019-000109</t>
  </si>
  <si>
    <t>MULTI AXIS MANUFACTURING LLC</t>
  </si>
  <si>
    <t>FE-2017-2018-0049</t>
  </si>
  <si>
    <t>2019-000108-A</t>
  </si>
  <si>
    <t>FE-2017-2018-0050</t>
  </si>
  <si>
    <t>2019-000311</t>
  </si>
  <si>
    <t>ORIGINAL FOOTWEAR, INC.</t>
  </si>
  <si>
    <t>FE-2017-2018-0051</t>
  </si>
  <si>
    <t>2019-000310</t>
  </si>
  <si>
    <t>FE-2017-2018-0052</t>
  </si>
  <si>
    <t>2019-000313</t>
  </si>
  <si>
    <t>FE-2017-2018-0053</t>
  </si>
  <si>
    <t>2019-000309</t>
  </si>
  <si>
    <t>FE-2017-2018-0054</t>
  </si>
  <si>
    <t>2019-000227</t>
  </si>
  <si>
    <t>GALEPHAR PHARMACEUTICALS RESEARCH, INC.</t>
  </si>
  <si>
    <t>FE-2017-2018-0055</t>
  </si>
  <si>
    <t>2019-000222-A</t>
  </si>
  <si>
    <t>FE-2017-2018-0056</t>
  </si>
  <si>
    <t>2019-000197</t>
  </si>
  <si>
    <t>PIRETTE UNIFORMS, INC.</t>
  </si>
  <si>
    <t>FE-2017-2018-0057</t>
  </si>
  <si>
    <t>2019-000085</t>
  </si>
  <si>
    <t>FALCON STRATEGY ADVISORS GMBH</t>
  </si>
  <si>
    <t>FE-2017-2018-0058</t>
  </si>
  <si>
    <t>FE-2018-2019-0001</t>
  </si>
  <si>
    <t>2019-000400</t>
  </si>
  <si>
    <t>MEDTRONICS PUERTO RICO OPERATIONS CO.</t>
  </si>
  <si>
    <t>FE-2018-2019-0002</t>
  </si>
  <si>
    <t>2019-000399</t>
  </si>
  <si>
    <t>FE-2018-2019-0003</t>
  </si>
  <si>
    <t>2020-000108</t>
  </si>
  <si>
    <t>SARTORIUS STEDIM FILTERS, INC.</t>
  </si>
  <si>
    <t>FE-2018-2019-0004</t>
  </si>
  <si>
    <t>2020-000134</t>
  </si>
  <si>
    <t>FE-2018-2019-0005</t>
  </si>
  <si>
    <t>2019-000143</t>
  </si>
  <si>
    <t>FE-2018-2019-0006</t>
  </si>
  <si>
    <t>2019-000398-A</t>
  </si>
  <si>
    <t>FE-2018-2019-0007</t>
  </si>
  <si>
    <t>2019-000220</t>
  </si>
  <si>
    <t>BLUHAUS CAPITAL, LLC</t>
  </si>
  <si>
    <t>FE-2018-2019-0008</t>
  </si>
  <si>
    <t>2019-000218</t>
  </si>
  <si>
    <t>FE-2018-2019-0009</t>
  </si>
  <si>
    <t>2019-000185-A</t>
  </si>
  <si>
    <t xml:space="preserve">INTEGRA DESIGN GROUP, </t>
  </si>
  <si>
    <t>FE-2018-2019-0010</t>
  </si>
  <si>
    <t>2019-000237</t>
  </si>
  <si>
    <t>MAKAI OCEAN ENGINEERING, INC.</t>
  </si>
  <si>
    <t>FE-2018-2019-0011</t>
  </si>
  <si>
    <t>2019-000217</t>
  </si>
  <si>
    <t>ESTUDIOS TECNICOS, INC.</t>
  </si>
  <si>
    <t>FE-2018-2019-0013</t>
  </si>
  <si>
    <t>2019-000079</t>
  </si>
  <si>
    <t xml:space="preserve">INVEST PUERTO RICO, INC. </t>
  </si>
  <si>
    <t>FE-2018-2019-0014</t>
  </si>
  <si>
    <t>2019-000154</t>
  </si>
  <si>
    <t>SUN COLORS DIGITAL GRAPHICS, INC.</t>
  </si>
  <si>
    <t>FE-2018-2019-0015</t>
  </si>
  <si>
    <t>2019-000155</t>
  </si>
  <si>
    <t>FE-2018-2019-0017</t>
  </si>
  <si>
    <t>2019-000153-A</t>
  </si>
  <si>
    <t>FE-2018-2019-0018</t>
  </si>
  <si>
    <t>2019-000203</t>
  </si>
  <si>
    <t>FE-2018-2019-0019</t>
  </si>
  <si>
    <t>2019-000315</t>
  </si>
  <si>
    <t>POINT BLANK PROTECTIVE APPAREL &amp; UNIFORMS</t>
  </si>
  <si>
    <t>FE-2018-2019-0020</t>
  </si>
  <si>
    <t>2019-000316</t>
  </si>
  <si>
    <t>FE-2018-2019-0021</t>
  </si>
  <si>
    <t>2019-000151</t>
  </si>
  <si>
    <t>FE-2018-2019-0023</t>
  </si>
  <si>
    <t>AUTORIDAD DE PUERTOS</t>
  </si>
  <si>
    <t>FE-2018-2019-0024</t>
  </si>
  <si>
    <t>2019-000376</t>
  </si>
  <si>
    <t>GREEN ENTERPRISES, LLC</t>
  </si>
  <si>
    <t>FE-2018-2019-0025</t>
  </si>
  <si>
    <t>2019-000389</t>
  </si>
  <si>
    <t>FENWAL INTERNATIONAL, INC.</t>
  </si>
  <si>
    <t>FE-2018-2019-0026</t>
  </si>
  <si>
    <t>2019-000351</t>
  </si>
  <si>
    <t>FOREVENUE, LLC</t>
  </si>
  <si>
    <t>FE-2018-2019-0027</t>
  </si>
  <si>
    <t>2019-000248</t>
  </si>
  <si>
    <t>FE-2018-2019-0028</t>
  </si>
  <si>
    <t>2019-000249</t>
  </si>
  <si>
    <t>FE-2018-2019-0029</t>
  </si>
  <si>
    <t>2019-000250</t>
  </si>
  <si>
    <t>FE-2018-2019-0030</t>
  </si>
  <si>
    <t>FE-2018-2019-0031</t>
  </si>
  <si>
    <t>2019-000347</t>
  </si>
  <si>
    <t>PR TECHNOECONOMIC CORRIDOR</t>
  </si>
  <si>
    <t>FE-2018-2019-0032</t>
  </si>
  <si>
    <t>2019-000238-A</t>
  </si>
  <si>
    <t>FE-2018-2019-0033</t>
  </si>
  <si>
    <t>2019-000348</t>
  </si>
  <si>
    <t>ABBVIE LTD.</t>
  </si>
  <si>
    <t>FE-2018-2019-0034</t>
  </si>
  <si>
    <t>2019-000344</t>
  </si>
  <si>
    <t>C-AXIS PR, INC.</t>
  </si>
  <si>
    <t>FE-2018-2019-0035</t>
  </si>
  <si>
    <t>2019-000343</t>
  </si>
  <si>
    <t>FE-2018-2019-0036</t>
  </si>
  <si>
    <t>2020-000171</t>
  </si>
  <si>
    <t>VIANT PUERTO RICO, INC.</t>
  </si>
  <si>
    <t>FE-2018-2019-0037</t>
  </si>
  <si>
    <t>2020-000172</t>
  </si>
  <si>
    <t>FE-2018-2019-0038</t>
  </si>
  <si>
    <t>2019-000440</t>
  </si>
  <si>
    <t>ABARCA HEALTH, LLC</t>
  </si>
  <si>
    <t>FE-2018-2019-0039</t>
  </si>
  <si>
    <t>2019-000439</t>
  </si>
  <si>
    <t>ABARCA TECHNOLOGIES, LLC</t>
  </si>
  <si>
    <t>FE-2018-2019-0040</t>
  </si>
  <si>
    <t>2019-000272</t>
  </si>
  <si>
    <t>E3 CONSULTING, INC.</t>
  </si>
  <si>
    <t>FE-2018-2019-0041</t>
  </si>
  <si>
    <t>2019-000391</t>
  </si>
  <si>
    <t>MASTER PAINTS &amp; CHEMICAL CORP.</t>
  </si>
  <si>
    <t>FE-2018-2019-0042</t>
  </si>
  <si>
    <t>2019-000393</t>
  </si>
  <si>
    <t>MASTER PRODUCTS CORP.</t>
  </si>
  <si>
    <t>FE-2018-2019-0043</t>
  </si>
  <si>
    <t>2019-000392</t>
  </si>
  <si>
    <t>MASTER BLOCK AND PAVER, LLC</t>
  </si>
  <si>
    <t>FE-2018-2019-0044</t>
  </si>
  <si>
    <t>2019-000256</t>
  </si>
  <si>
    <t>PUERTO RICO INDUSTRIES FOR THE BLIND CORP.</t>
  </si>
  <si>
    <t>FE-2018-2019-0045</t>
  </si>
  <si>
    <t>2019-000235</t>
  </si>
  <si>
    <t>FE-2018-2019-0046</t>
  </si>
  <si>
    <t>2019-000257</t>
  </si>
  <si>
    <t>FE-2018-2019-0047</t>
  </si>
  <si>
    <t>2019-000274</t>
  </si>
  <si>
    <t>ALUMINIOS DE PUERTO RICO LLC</t>
  </si>
  <si>
    <t>FE-2018-2019-0048</t>
  </si>
  <si>
    <t>2019-000273-A</t>
  </si>
  <si>
    <t>FE-2018-2019-0049</t>
  </si>
  <si>
    <t>2019-000266</t>
  </si>
  <si>
    <t>FE-2018-2019-0050</t>
  </si>
  <si>
    <t>2020-000044</t>
  </si>
  <si>
    <t>AIAC INTERNATIONAL PHARMA, LLC</t>
  </si>
  <si>
    <t>FE-2018-2019-0051</t>
  </si>
  <si>
    <t>2020-000045</t>
  </si>
  <si>
    <t>FE-2018-2019-0052</t>
  </si>
  <si>
    <t>2020-000098</t>
  </si>
  <si>
    <t>FE-2018-2019-0053</t>
  </si>
  <si>
    <t>FE-2018-2019-0054</t>
  </si>
  <si>
    <t>FE-2018-2019-0055</t>
  </si>
  <si>
    <t>2020-000097</t>
  </si>
  <si>
    <t>FE-2018-2019-0056</t>
  </si>
  <si>
    <t>2019-000473</t>
  </si>
  <si>
    <t>FE-2018-2019-0057</t>
  </si>
  <si>
    <t>2019-000471</t>
  </si>
  <si>
    <t>HOSSANA CORPORATION</t>
  </si>
  <si>
    <t>FE-2018-2019-0058</t>
  </si>
  <si>
    <t>PINNACLE PARTNERS LLC</t>
  </si>
  <si>
    <t>FE-2018-2019-0059</t>
  </si>
  <si>
    <t>FE-2018-2019-0061</t>
  </si>
  <si>
    <t>2019-000385</t>
  </si>
  <si>
    <t>COMMSENSE, LLC</t>
  </si>
  <si>
    <t>FE-2018-2019-0062</t>
  </si>
  <si>
    <t>2019-000386</t>
  </si>
  <si>
    <t>FE-2018-2019-0063</t>
  </si>
  <si>
    <t>2019-000290</t>
  </si>
  <si>
    <t>P.V.CASA PR LLC</t>
  </si>
  <si>
    <t>FE-2018-2019-0064</t>
  </si>
  <si>
    <t>2019-000289</t>
  </si>
  <si>
    <t>FE-2018-2019-0065</t>
  </si>
  <si>
    <t>2019-000286</t>
  </si>
  <si>
    <t>INPRENDE, LLC</t>
  </si>
  <si>
    <t>FE-2018-2019-0066</t>
  </si>
  <si>
    <t>2019-000470-A</t>
  </si>
  <si>
    <t>FE-2018-2019-0067</t>
  </si>
  <si>
    <t>2019-000335-A</t>
  </si>
  <si>
    <t>CUBE GROUP, INC.</t>
  </si>
  <si>
    <t>FE-2018-2019-0068</t>
  </si>
  <si>
    <t>2019-000390</t>
  </si>
  <si>
    <t>FE-2018-2019-0069</t>
  </si>
  <si>
    <t>2019-000322</t>
  </si>
  <si>
    <t>PRHOF MANUFACTURING LLC</t>
  </si>
  <si>
    <t>FE-2018-2019-0070</t>
  </si>
  <si>
    <t>2019-000321</t>
  </si>
  <si>
    <t>FE-2018-2019-0071</t>
  </si>
  <si>
    <t>2018-000355</t>
  </si>
  <si>
    <t>FE-2018-2019-0072</t>
  </si>
  <si>
    <t>2019-000350</t>
  </si>
  <si>
    <t>COBIAN MEDIA, LLC</t>
  </si>
  <si>
    <t>FE-2018-2019-0073</t>
  </si>
  <si>
    <t>2019-000405</t>
  </si>
  <si>
    <t>NEW CABINETS, INC.</t>
  </si>
  <si>
    <t>FE-2018-2019-0074</t>
  </si>
  <si>
    <t>2019-000404</t>
  </si>
  <si>
    <t>FE-2018-2019-0075</t>
  </si>
  <si>
    <t>2019-000406</t>
  </si>
  <si>
    <t>FE-2018-2019-0076</t>
  </si>
  <si>
    <t>2019-000422</t>
  </si>
  <si>
    <t>PERFILES DE ALUMINIO, INC.</t>
  </si>
  <si>
    <t>FE-2018-2019-0077</t>
  </si>
  <si>
    <t>2019-000421</t>
  </si>
  <si>
    <t>FE-2018-2019-0078</t>
  </si>
  <si>
    <t>ZIMMER MANUFACTURING BV</t>
  </si>
  <si>
    <t>FE-2018-2019-0082</t>
  </si>
  <si>
    <t>2020-000041</t>
  </si>
  <si>
    <t>ECHO CONSULTING GROUP, INC.</t>
  </si>
  <si>
    <t>FE-2018-2019-0083</t>
  </si>
  <si>
    <t>2020-000129</t>
  </si>
  <si>
    <t>PAN PEPIN, INC.</t>
  </si>
  <si>
    <t>FE-2018-2019-0084</t>
  </si>
  <si>
    <t>2019-000455</t>
  </si>
  <si>
    <t>FE-2018-2019-0085</t>
  </si>
  <si>
    <t>2019-000432</t>
  </si>
  <si>
    <t>FUNDAL CORP.</t>
  </si>
  <si>
    <t>FE-2018-2019-0086</t>
  </si>
  <si>
    <t>2019-000433</t>
  </si>
  <si>
    <t>FE-2018-2019-0087</t>
  </si>
  <si>
    <t>2020-000200</t>
  </si>
  <si>
    <t xml:space="preserve">IQ PHARMA PR LLC </t>
  </si>
  <si>
    <t>FE-2018-2019-0088</t>
  </si>
  <si>
    <t>2020-000198-A</t>
  </si>
  <si>
    <t>FE-2018-2019-0089</t>
  </si>
  <si>
    <t>2020-000199-A</t>
  </si>
  <si>
    <t>FE-2018-2019-0092</t>
  </si>
  <si>
    <t>2019-000484</t>
  </si>
  <si>
    <t>FE-2018-2019-0094</t>
  </si>
  <si>
    <t>2020-000167</t>
  </si>
  <si>
    <t>MARVEL INTERNATIONAL, INC.</t>
  </si>
  <si>
    <t>FE-2018-2019-0095</t>
  </si>
  <si>
    <t>2020-000166</t>
  </si>
  <si>
    <t>FE-2018-2019-0096</t>
  </si>
  <si>
    <t>2020-000081</t>
  </si>
  <si>
    <t>FE-2018-2019-0098</t>
  </si>
  <si>
    <t>2020-000080</t>
  </si>
  <si>
    <t>FE-2018-2019-0099</t>
  </si>
  <si>
    <t>2021-000104</t>
  </si>
  <si>
    <t>OPTUM SERVICES (PUERTO RICO) LLC</t>
  </si>
  <si>
    <t>FE-2018-2019-0100</t>
  </si>
  <si>
    <t>2021-000105</t>
  </si>
  <si>
    <t>FE-2018-2019-0101</t>
  </si>
  <si>
    <t>2020-000144</t>
  </si>
  <si>
    <t xml:space="preserve">GK MANUFACTURING </t>
  </si>
  <si>
    <t>FE-2018-2019-0102</t>
  </si>
  <si>
    <t>2020-000143-A</t>
  </si>
  <si>
    <t>FE-2018-2019-0103</t>
  </si>
  <si>
    <t>BOEHRINGER INGELHEIM ANIMAL HEALTH PUERTO RICO</t>
  </si>
  <si>
    <t>FE-2018-2019-0104</t>
  </si>
  <si>
    <t>FE-2018-2019-0107</t>
  </si>
  <si>
    <t>2020-000147</t>
  </si>
  <si>
    <t>COOPERVISION CARIBBEAN CORP.</t>
  </si>
  <si>
    <t>FE-2018-2019-0108</t>
  </si>
  <si>
    <t>2020-000148</t>
  </si>
  <si>
    <t>FE-2018-2019-0109</t>
  </si>
  <si>
    <t>2020-000146</t>
  </si>
  <si>
    <t>FE-2018-2019-0113</t>
  </si>
  <si>
    <t>2021-000033</t>
  </si>
  <si>
    <t>PALL LIFE SCIENCES PUERTO RICO, LLC</t>
  </si>
  <si>
    <t>FE-2018-2019-0114</t>
  </si>
  <si>
    <t>2021-000031</t>
  </si>
  <si>
    <t>FE-2018-2019-0115</t>
  </si>
  <si>
    <t>2021-000032</t>
  </si>
  <si>
    <t>FE-2018-2019-0117</t>
  </si>
  <si>
    <t>FE-2018-2019-0118</t>
  </si>
  <si>
    <t>FE-2019-2020-0001</t>
  </si>
  <si>
    <t>HARRIS CORPORATION</t>
  </si>
  <si>
    <t>FE-2019-2020-0002</t>
  </si>
  <si>
    <t>FE-2019-2020-0003</t>
  </si>
  <si>
    <t>2020-000169</t>
  </si>
  <si>
    <t>WOVENWARE, INC.</t>
  </si>
  <si>
    <t>FE-2019-2020-0004</t>
  </si>
  <si>
    <t>2020-000168</t>
  </si>
  <si>
    <t>FE-2019-2020-0005</t>
  </si>
  <si>
    <t>2020-000170</t>
  </si>
  <si>
    <t>FE-2019-2020-0006</t>
  </si>
  <si>
    <t>DESTILERIA CRUZ CORP.</t>
  </si>
  <si>
    <t>FE-2019-2020-0007</t>
  </si>
  <si>
    <t>FE-2019-2020-0008</t>
  </si>
  <si>
    <t>UNIVERSAL HOUSING SOLUTIONS INNOVA PUERTO RICO, LLC (INNOVA)</t>
  </si>
  <si>
    <t>FE-2019-2020-0009</t>
  </si>
  <si>
    <t>FE-2019-2020-0010</t>
  </si>
  <si>
    <t>2020-000252-A</t>
  </si>
  <si>
    <t>CONGAR INTERNATIONAL CORP.</t>
  </si>
  <si>
    <t>FE-2019-2020-0011</t>
  </si>
  <si>
    <t>2020-000253</t>
  </si>
  <si>
    <t>FE-2019-2020-0012</t>
  </si>
  <si>
    <t>DISTECH CORP.</t>
  </si>
  <si>
    <t>FE-2019-2020-0013</t>
  </si>
  <si>
    <t>FE-2019-2020-0016</t>
  </si>
  <si>
    <t>2020-000078</t>
  </si>
  <si>
    <t>FE-2019-2020-0017</t>
  </si>
  <si>
    <t>2020-000079</t>
  </si>
  <si>
    <t>FE-2019-2020-0018</t>
  </si>
  <si>
    <t>FE-2019-2020-0019</t>
  </si>
  <si>
    <t>2020-000071-B</t>
  </si>
  <si>
    <t xml:space="preserve">EDMUNDO B. FERNANDEZ, INC. </t>
  </si>
  <si>
    <t>FE-2019-2020-0020</t>
  </si>
  <si>
    <t>2020-000348</t>
  </si>
  <si>
    <t>SNC TECHNICAL SERVICES, LLC</t>
  </si>
  <si>
    <t>FE-2019-2020-0021</t>
  </si>
  <si>
    <t>2020-000346</t>
  </si>
  <si>
    <t>FE-2019-2020-0022</t>
  </si>
  <si>
    <t>2020-000347</t>
  </si>
  <si>
    <t>FE-2019-2020-0023</t>
  </si>
  <si>
    <t>2020-000344</t>
  </si>
  <si>
    <t>FE-2019-2020-0024</t>
  </si>
  <si>
    <t>2020-000345</t>
  </si>
  <si>
    <t>FE-2019-2020-0025</t>
  </si>
  <si>
    <t>2020-000192</t>
  </si>
  <si>
    <t>PENTAQ MFG. CORP.</t>
  </si>
  <si>
    <t>FE-2019-2020-0026</t>
  </si>
  <si>
    <t>2020-000193</t>
  </si>
  <si>
    <t>FE-2019-2020-0027</t>
  </si>
  <si>
    <t>2020-000194</t>
  </si>
  <si>
    <t>FE-2019-2020-0028</t>
  </si>
  <si>
    <t>2020-000186</t>
  </si>
  <si>
    <t>PUERTO RICO APPAREL MFG. CORP.</t>
  </si>
  <si>
    <t>FE-2019-2020-0029</t>
  </si>
  <si>
    <t>2020-000187</t>
  </si>
  <si>
    <t>FE-2019-2020-0030</t>
  </si>
  <si>
    <t>2020-000135</t>
  </si>
  <si>
    <t>KANDOR MANUFACTURING, INC.</t>
  </si>
  <si>
    <t>FE-2019-2020-0031</t>
  </si>
  <si>
    <t>2020-000136</t>
  </si>
  <si>
    <t>FE-2019-2020-0032</t>
  </si>
  <si>
    <t>2020-000216</t>
  </si>
  <si>
    <t>PROTEGO FOOTWEAR, INC.</t>
  </si>
  <si>
    <t>FE-2019-2020-0033</t>
  </si>
  <si>
    <t>2020-000217</t>
  </si>
  <si>
    <t>FE-2019-2020-0034</t>
  </si>
  <si>
    <t>2020-000218</t>
  </si>
  <si>
    <t>FE-2019-2020-0035</t>
  </si>
  <si>
    <t>2020-000220</t>
  </si>
  <si>
    <t>FE-2019-2020-0036</t>
  </si>
  <si>
    <t>2020-000221</t>
  </si>
  <si>
    <t>FE-2019-2020-0037</t>
  </si>
  <si>
    <t>2020-000237</t>
  </si>
  <si>
    <t>ROVIRA BISCUIT CORPORATION</t>
  </si>
  <si>
    <t>FE-2019-2020-0038</t>
  </si>
  <si>
    <t>2020-000236</t>
  </si>
  <si>
    <t>FE-2019-2020-0040</t>
  </si>
  <si>
    <t>2020-000116-A</t>
  </si>
  <si>
    <t>ASOCIACION DE PRODUCTOS DE PUERTO RICO</t>
  </si>
  <si>
    <t>FE-2019-2020-0041</t>
  </si>
  <si>
    <t>2020-000113</t>
  </si>
  <si>
    <t>DEPTO. DESARROLLO ECONOMICO Y COMERCIO</t>
  </si>
  <si>
    <t>FE-2019-2020-0042</t>
  </si>
  <si>
    <t>DEPARTAMENTO DE DESARROLLO ECONOMICO Y COMERCIO</t>
  </si>
  <si>
    <t>FE-2019-2020-0043</t>
  </si>
  <si>
    <t>2020-000095</t>
  </si>
  <si>
    <t>FE-2019-2020-0046</t>
  </si>
  <si>
    <t>2020-000370</t>
  </si>
  <si>
    <t xml:space="preserve">ABBOTT DIAGNOSTICS INTERNATIONAL, LTD </t>
  </si>
  <si>
    <t>FE-2019-2020-0047</t>
  </si>
  <si>
    <t>2020-000371</t>
  </si>
  <si>
    <t>FE-2019-2020-0048</t>
  </si>
  <si>
    <t>2020-000337</t>
  </si>
  <si>
    <t>HINDUSTAN PLATINUM PR LLC</t>
  </si>
  <si>
    <t>FE-2019-2020-0049</t>
  </si>
  <si>
    <t>2020-000335</t>
  </si>
  <si>
    <t>FE-2019-2020-0050</t>
  </si>
  <si>
    <t>2020-000336</t>
  </si>
  <si>
    <t>FE-2019-2020-0051</t>
  </si>
  <si>
    <t>FE-2019-2020-0052</t>
  </si>
  <si>
    <t>FE-2019-2020-0053</t>
  </si>
  <si>
    <t>2020-000175</t>
  </si>
  <si>
    <t>FE-2019-2020-0054</t>
  </si>
  <si>
    <t>NYPRO PUERTO RICO, INC.....</t>
  </si>
  <si>
    <t>FE-2019-2020-0055</t>
  </si>
  <si>
    <t>FE-2019-2020-0056</t>
  </si>
  <si>
    <t>FE-2019-2020-0057</t>
  </si>
  <si>
    <t>2020-000283</t>
  </si>
  <si>
    <t>FE-2019-2020-0058</t>
  </si>
  <si>
    <t>2020-000239</t>
  </si>
  <si>
    <t>FE-2019-2020-0060</t>
  </si>
  <si>
    <t>AUTORIDAD PARA EL REDESARROLLO DE ROOSEVELT ROAD</t>
  </si>
  <si>
    <t>FE-2019-2020-0061</t>
  </si>
  <si>
    <t>2020-000238</t>
  </si>
  <si>
    <t>FE-2019-2020-0062</t>
  </si>
  <si>
    <t>2020-000342</t>
  </si>
  <si>
    <t>THREE FORKS - CARIBBEAN LLC</t>
  </si>
  <si>
    <t>FE-2019-2020-0063</t>
  </si>
  <si>
    <t>2020-000341</t>
  </si>
  <si>
    <t>FE-2019-2020-0064</t>
  </si>
  <si>
    <t>2020-000343</t>
  </si>
  <si>
    <t>FE-2019-2020-0066</t>
  </si>
  <si>
    <t>FE-2019-2020-0067</t>
  </si>
  <si>
    <t>2021-000010</t>
  </si>
  <si>
    <t>FE-2019-2020-0068</t>
  </si>
  <si>
    <t>2021-000009</t>
  </si>
  <si>
    <t>FE-2019-2020-0069</t>
  </si>
  <si>
    <t>PRECISION WORX LLC</t>
  </si>
  <si>
    <t>FE-2019-2020-0070</t>
  </si>
  <si>
    <t>FE-2019-2020-0071</t>
  </si>
  <si>
    <t>2021-000025</t>
  </si>
  <si>
    <t>FE-2019-2020-0072</t>
  </si>
  <si>
    <t>HUBBELL CARIBE  LIMITED</t>
  </si>
  <si>
    <t>FE-2019-2020-0073</t>
  </si>
  <si>
    <t>FE-2019-2020-0074</t>
  </si>
  <si>
    <t>FE-2019-2020-0075</t>
  </si>
  <si>
    <t>FE-2019-2020-0076</t>
  </si>
  <si>
    <t>FE-2019-2020-0077</t>
  </si>
  <si>
    <t>FE-2019-2020-0078</t>
  </si>
  <si>
    <t>FE-2019-2020-0079</t>
  </si>
  <si>
    <t>FE-2019-2020-0080</t>
  </si>
  <si>
    <t>2020-000340</t>
  </si>
  <si>
    <t>FE-2019-2020-0081</t>
  </si>
  <si>
    <t>2020-000402-A</t>
  </si>
  <si>
    <t>ENACTUS PUERTO RICO, INC.</t>
  </si>
  <si>
    <t>FE-2019-2020-0082</t>
  </si>
  <si>
    <t>2020-000334-A</t>
  </si>
  <si>
    <t>FE-2019-2020-0083</t>
  </si>
  <si>
    <t>FE-2019-2020-0084</t>
  </si>
  <si>
    <t>2020-000284-A</t>
  </si>
  <si>
    <t>PASTELERIA CIDRINES, INC.</t>
  </si>
  <si>
    <t>FE-2019-2020-0085</t>
  </si>
  <si>
    <t>2020-000285</t>
  </si>
  <si>
    <t>FE-2019-2020-0086</t>
  </si>
  <si>
    <t>FE-2019-2020-0087</t>
  </si>
  <si>
    <t>FE-2019-2020-0088</t>
  </si>
  <si>
    <t>AGILE DOCUMENT REVIEW SERIES, LLC</t>
  </si>
  <si>
    <t>FE-2019-2020-0089</t>
  </si>
  <si>
    <t>FE-2019-2020-0092</t>
  </si>
  <si>
    <t>FE-2019-2020-0093</t>
  </si>
  <si>
    <t>TEAM AND TECH, LLC</t>
  </si>
  <si>
    <t>FE-2019-2020-0094</t>
  </si>
  <si>
    <t>FE-2019-2020-0095</t>
  </si>
  <si>
    <t>FE-2019-2020-0096</t>
  </si>
  <si>
    <t>FE-2019-2020-0097</t>
  </si>
  <si>
    <t>2021-000096</t>
  </si>
  <si>
    <t>CENTRO PARA EMPRENDEDORES, INC.</t>
  </si>
  <si>
    <t>FE-2019-2020-0098</t>
  </si>
  <si>
    <t>2020-000443</t>
  </si>
  <si>
    <t>FE-2019-2020-0099</t>
  </si>
  <si>
    <t>FE-2019-2020-0100</t>
  </si>
  <si>
    <t>BAXTER HEALTHCARE OF PUERTO RICO</t>
  </si>
  <si>
    <t>FE-2019-2020-0101</t>
  </si>
  <si>
    <t>FE-2019-2020-0102</t>
  </si>
  <si>
    <t>2020-000455</t>
  </si>
  <si>
    <t>POSITRONIC CARIBE</t>
  </si>
  <si>
    <t>FE-2019-2020-0103</t>
  </si>
  <si>
    <t>2020-000431</t>
  </si>
  <si>
    <t>MUNICIPIO AUTONOMO DE BAYAMON</t>
  </si>
  <si>
    <t>FE-2019-2020-0104</t>
  </si>
  <si>
    <t>2021-000094</t>
  </si>
  <si>
    <t>FE-2020-2021-0001</t>
  </si>
  <si>
    <t>FIE-2015-2016-IEE-0139</t>
  </si>
  <si>
    <t>2017-000327</t>
  </si>
  <si>
    <t>L. S. QUILTING, INC.</t>
  </si>
  <si>
    <t>FIE-2016-2017-IEE-0010</t>
  </si>
  <si>
    <t>2016-000623-B</t>
  </si>
  <si>
    <t>BLANCO &amp; RIERA, INC.</t>
  </si>
  <si>
    <t>FIE-2016-2017-IEE-0011</t>
  </si>
  <si>
    <t>2016-000585-B</t>
  </si>
  <si>
    <t>COMERCIAL TORO, INC D/B/A TOPES TORO</t>
  </si>
  <si>
    <t>FIE-2016-2017-IEE-0012</t>
  </si>
  <si>
    <t>2016-000719-B</t>
  </si>
  <si>
    <t>ORTIZ KITCHEN MFG, INC.</t>
  </si>
  <si>
    <t>FIE-2016-2017-IEE-0013</t>
  </si>
  <si>
    <t>2016-000561-C</t>
  </si>
  <si>
    <t>DIAZ BROTHERS, INC.</t>
  </si>
  <si>
    <t>FIE-2016-2017-IEE-0014</t>
  </si>
  <si>
    <t>2016-000590-C</t>
  </si>
  <si>
    <t>FIE-2016-2017-IEE-0015</t>
  </si>
  <si>
    <t>2016-000582-B</t>
  </si>
  <si>
    <t>B. B. BEDDING, INC.</t>
  </si>
  <si>
    <t>FIE-2016-2017-IEE-0016</t>
  </si>
  <si>
    <t>2016-000582-A</t>
  </si>
  <si>
    <t>FIE-2016-2017-IEE-0017</t>
  </si>
  <si>
    <t>2016-000627-B</t>
  </si>
  <si>
    <t>MARISTELLA, INC.</t>
  </si>
  <si>
    <t>FIE-2016-2017-IEE-0018</t>
  </si>
  <si>
    <t>2016-000562-C</t>
  </si>
  <si>
    <t>JOAQUIN AVINO, INC.</t>
  </si>
  <si>
    <t>FIE-2016-2017-IEE-0022</t>
  </si>
  <si>
    <t>2016-000581-B</t>
  </si>
  <si>
    <t>EMPRESAS BORIQUE, INC.</t>
  </si>
  <si>
    <t>FIE-2016-2017-IEE-0023</t>
  </si>
  <si>
    <t>2016-000581-C</t>
  </si>
  <si>
    <t>FIE-2016-2017-IEE-0024</t>
  </si>
  <si>
    <t>2016-000560-C</t>
  </si>
  <si>
    <t>PITIRRE MFG., INC.</t>
  </si>
  <si>
    <t>FIE-2016-2017-IEE-0025</t>
  </si>
  <si>
    <t>2016-000583-C</t>
  </si>
  <si>
    <t>HOSSANA  CORP.</t>
  </si>
  <si>
    <t>FIE-2016-2017-IEE-0026</t>
  </si>
  <si>
    <t>2016-000623-C</t>
  </si>
  <si>
    <t>FIE-2016-2017-IEE-0027</t>
  </si>
  <si>
    <t>2016-000591-C</t>
  </si>
  <si>
    <t>A. AVANTI KITCHENS, INC.</t>
  </si>
  <si>
    <t>FIE-2016-2017-IEE-0028</t>
  </si>
  <si>
    <t>2016-000592-C</t>
  </si>
  <si>
    <t>JUAN C. TORRES SUCRS., INC.</t>
  </si>
  <si>
    <t>FIE-2016-2017-IEE-0029</t>
  </si>
  <si>
    <t>2016-000559-C</t>
  </si>
  <si>
    <t>GIRARD MANUFACTURING</t>
  </si>
  <si>
    <t>FIE-2016-2017-IEE-0038</t>
  </si>
  <si>
    <t>2016-000560-B</t>
  </si>
  <si>
    <t>FIE-2016-2017-IEE-0040</t>
  </si>
  <si>
    <t>2017-000371</t>
  </si>
  <si>
    <t>FIE-2016-2017-IEE-0041</t>
  </si>
  <si>
    <t>2017-000343</t>
  </si>
  <si>
    <t>FIE-2016-2017-IEE-0042</t>
  </si>
  <si>
    <t>2017-000355</t>
  </si>
  <si>
    <t>FIE-2016-2017-IEE-0043</t>
  </si>
  <si>
    <t>2017-000345</t>
  </si>
  <si>
    <t>FIE-2016-2017-IEE-0044</t>
  </si>
  <si>
    <t>2017-000340</t>
  </si>
  <si>
    <t>FIE-2016-2017-IEE-0045</t>
  </si>
  <si>
    <t>2017-000353</t>
  </si>
  <si>
    <t>FIE-2016-2017-IEE-0046</t>
  </si>
  <si>
    <t>2017-000333</t>
  </si>
  <si>
    <t>FIE-2016-2017-IEE-0047</t>
  </si>
  <si>
    <t>2017-000627-C</t>
  </si>
  <si>
    <t>FIE-2016-2017-IEE-0048</t>
  </si>
  <si>
    <t>2017-000344</t>
  </si>
  <si>
    <t>FIE-2016-2017-IEE-0050</t>
  </si>
  <si>
    <t>2017-000322</t>
  </si>
  <si>
    <t>FIE-2016-2017-IEE-0051</t>
  </si>
  <si>
    <t>2017-000342</t>
  </si>
  <si>
    <t>FE-RI CONSTRUCTION, INC.</t>
  </si>
  <si>
    <t>FIE-2016-2017-IEE-0052</t>
  </si>
  <si>
    <t>2017-000367</t>
  </si>
  <si>
    <t>DNG, INC.</t>
  </si>
  <si>
    <t>FIE-2016-2017-IIE-0035</t>
  </si>
  <si>
    <t>2018-000161</t>
  </si>
  <si>
    <t>FIE-2016-2017-IIE-0062</t>
  </si>
  <si>
    <t>2018-000150</t>
  </si>
  <si>
    <t>CURTIS INSTRUMENTS P.R., INC.</t>
  </si>
  <si>
    <t>FIE-2016-2017-IIP-0004</t>
  </si>
  <si>
    <t>2017-000385</t>
  </si>
  <si>
    <t>GERARDO ROSA MARTINEZ</t>
  </si>
  <si>
    <t>2017-000386</t>
  </si>
  <si>
    <t>FIGUEROA GIL DE LA MADRID, LEONIDES</t>
  </si>
  <si>
    <t>2017-000387</t>
  </si>
  <si>
    <t>MARTINEZ TULL, EDUARDO</t>
  </si>
  <si>
    <t>2017-000198</t>
  </si>
  <si>
    <t>JOSE L PENA BURGOS</t>
  </si>
  <si>
    <t>2017-000129</t>
  </si>
  <si>
    <t>PEREZ SANTIAGO, MIGUEL</t>
  </si>
  <si>
    <t>2017-000130</t>
  </si>
  <si>
    <t>NORBERTO MARTELL MORALES</t>
  </si>
  <si>
    <t>2017-000314</t>
  </si>
  <si>
    <t xml:space="preserve">BRAVO RIVERA, ZULMA </t>
  </si>
  <si>
    <t>2017-000315</t>
  </si>
  <si>
    <t>RIVERA LOPEZ, NORMA I.</t>
  </si>
  <si>
    <t>2017-000461</t>
  </si>
  <si>
    <t>KINGDOM SOLUTIONS CORP.</t>
  </si>
  <si>
    <t>2017-000178</t>
  </si>
  <si>
    <t>EL FOGON DE SOFIA</t>
  </si>
  <si>
    <t>2018-000009</t>
  </si>
  <si>
    <t>CASA CULTURAL AFRO-CARIBENO CENTRO YUIZA</t>
  </si>
  <si>
    <t>2017-000405</t>
  </si>
  <si>
    <t xml:space="preserve">CAPARRA CATERING </t>
  </si>
  <si>
    <t>2017-000460</t>
  </si>
  <si>
    <t>2017-000245</t>
  </si>
  <si>
    <t>2017-000215</t>
  </si>
  <si>
    <t>LIND GARCIA, NADIA</t>
  </si>
  <si>
    <t>2017-000174</t>
  </si>
  <si>
    <t>SANCHEZ CLASS, ALFREDO</t>
  </si>
  <si>
    <t>2017-000176</t>
  </si>
  <si>
    <t>IRIZARRY VALENTIN, ZAMARY</t>
  </si>
  <si>
    <t>2017-000409</t>
  </si>
  <si>
    <t>MADELINE  BELLIARD ZAYAS</t>
  </si>
  <si>
    <t>2017-000467</t>
  </si>
  <si>
    <t xml:space="preserve">LOPEZ DIAZ, NORMA I. </t>
  </si>
  <si>
    <t>2017-000468</t>
  </si>
  <si>
    <t>GONZALEZ ROSARIO, ADA N.</t>
  </si>
  <si>
    <t>2017-000392</t>
  </si>
  <si>
    <t>2017-000148</t>
  </si>
  <si>
    <t>MENDEZ COLON, FRANCES</t>
  </si>
  <si>
    <t>2017-000149</t>
  </si>
  <si>
    <t>SANTIAGO CUEVAS, JOSEFA P.</t>
  </si>
  <si>
    <t>2017-000150</t>
  </si>
  <si>
    <t>HERNANDEZ TORRES, IRIS Z.</t>
  </si>
  <si>
    <t xml:space="preserve">2017-000175 </t>
  </si>
  <si>
    <t>MUSEO DE LAS AMERICAS, INC.</t>
  </si>
  <si>
    <t>2017-000256</t>
  </si>
  <si>
    <t>FLASH BACK GROUP, INC</t>
  </si>
  <si>
    <t>2017-000350</t>
  </si>
  <si>
    <t>CORDERO TORRESOLA, LILLIAM</t>
  </si>
  <si>
    <t>2017-000218</t>
  </si>
  <si>
    <t>2017-000188</t>
  </si>
  <si>
    <t xml:space="preserve">SANTANA LAMBOY, HARRY L. </t>
  </si>
  <si>
    <t>2017-000414</t>
  </si>
  <si>
    <t>COLON MARRERO, XAVIER J.</t>
  </si>
  <si>
    <t>2017-000420</t>
  </si>
  <si>
    <t>FUENTES ALVARADO, INOCENCIA</t>
  </si>
  <si>
    <t>2017-000131</t>
  </si>
  <si>
    <t>PLAZA DEL CARIBE, SE</t>
  </si>
  <si>
    <t>2017-000246</t>
  </si>
  <si>
    <t>2017-000157</t>
  </si>
  <si>
    <t>RIVERA TORRES, JASMINE M.</t>
  </si>
  <si>
    <t>2017-000180</t>
  </si>
  <si>
    <t>2017-000181</t>
  </si>
  <si>
    <t>2017-000182</t>
  </si>
  <si>
    <t>ORTA RIVERA, HECTOR</t>
  </si>
  <si>
    <t>2017-000183</t>
  </si>
  <si>
    <t xml:space="preserve">MAYSONET VAZQUEZ, FELIX </t>
  </si>
  <si>
    <t>2017-000184</t>
  </si>
  <si>
    <t>OLGA R. COSTA ALFARO</t>
  </si>
  <si>
    <t>2017-000185</t>
  </si>
  <si>
    <t>2017-000186</t>
  </si>
  <si>
    <t>2017-000189</t>
  </si>
  <si>
    <t>ANA MARIE TORRES COLON</t>
  </si>
  <si>
    <t>2017-000199</t>
  </si>
  <si>
    <t xml:space="preserve">ORTIZ TORRES, EVELYN </t>
  </si>
  <si>
    <t>2017-000201</t>
  </si>
  <si>
    <t xml:space="preserve">GARCIA CORDERO, JOSE D. </t>
  </si>
  <si>
    <t>2017-000356</t>
  </si>
  <si>
    <t>2017-000357</t>
  </si>
  <si>
    <t>2017-000358</t>
  </si>
  <si>
    <t>2017-000359</t>
  </si>
  <si>
    <t>2017-000360</t>
  </si>
  <si>
    <t>MALDONADO MEJIAS, SARAH</t>
  </si>
  <si>
    <t>2017-000361</t>
  </si>
  <si>
    <t>2017-000362</t>
  </si>
  <si>
    <t>2017-000364</t>
  </si>
  <si>
    <t>2017-000370</t>
  </si>
  <si>
    <t>MARRERO RIVERA, ANGELITA</t>
  </si>
  <si>
    <t>2017-000352</t>
  </si>
  <si>
    <t>2017-000376</t>
  </si>
  <si>
    <t>LUIS OMAR RENTAL</t>
  </si>
  <si>
    <t>2018-000004</t>
  </si>
  <si>
    <t>MUNICIPIO DE SALINAS</t>
  </si>
  <si>
    <t>2017-000156</t>
  </si>
  <si>
    <t>2017-000187</t>
  </si>
  <si>
    <t>2017-000469</t>
  </si>
  <si>
    <t>LOPEZ DIAZ, ANGEL</t>
  </si>
  <si>
    <t>2017-000377</t>
  </si>
  <si>
    <t>MUNICIPIO DE LAS MARIAS</t>
  </si>
  <si>
    <t>2017-000248</t>
  </si>
  <si>
    <t>EMPRESAS MELENDEZ CRUZ, INC.</t>
  </si>
  <si>
    <t>2017-000389</t>
  </si>
  <si>
    <t>2018-000073</t>
  </si>
  <si>
    <t xml:space="preserve">LOPEZ ESTRELLA, GLORIA C. </t>
  </si>
  <si>
    <t>2017-000205</t>
  </si>
  <si>
    <t>2017-000217</t>
  </si>
  <si>
    <t>FESTIVAL DEL PASTEL INC.</t>
  </si>
  <si>
    <t>2017-000179</t>
  </si>
  <si>
    <t>2017-000375</t>
  </si>
  <si>
    <t>2017-000396</t>
  </si>
  <si>
    <t>2017-000390</t>
  </si>
  <si>
    <t>2017-000472</t>
  </si>
  <si>
    <t>CONSEJO JUANADINO PRO FESTEJOS DE REYES, INC.</t>
  </si>
  <si>
    <t>2017-000118</t>
  </si>
  <si>
    <t>2017-000262</t>
  </si>
  <si>
    <t>MUNICIPIO DE AIBONITO</t>
  </si>
  <si>
    <t>2017-000158</t>
  </si>
  <si>
    <t>2017-000226</t>
  </si>
  <si>
    <t>2017-000177</t>
  </si>
  <si>
    <t>2017-000415</t>
  </si>
  <si>
    <t>2017-000323</t>
  </si>
  <si>
    <t>2017-000445</t>
  </si>
  <si>
    <t>CENTRO CULTURAL LUIS MUNOZ RIVERA, INC.</t>
  </si>
  <si>
    <t>2017-000439</t>
  </si>
  <si>
    <t>CASA PEPINIANA DE LA CULTURA</t>
  </si>
  <si>
    <t>FIE-2016-2017-IIP-0005</t>
  </si>
  <si>
    <t>2017-000473</t>
  </si>
  <si>
    <t>AZURE DEE BAEZ MONSANTO</t>
  </si>
  <si>
    <t>2017-000321</t>
  </si>
  <si>
    <t xml:space="preserve">ARCE LUCIANO, YESENIA </t>
  </si>
  <si>
    <t>2017-000466</t>
  </si>
  <si>
    <t>SANCHEZ RODRIGUEZ, ALEXIS M.</t>
  </si>
  <si>
    <t>2017-000369</t>
  </si>
  <si>
    <t>PERSIDA GAUTHIER GARCIA</t>
  </si>
  <si>
    <t>2018-000047</t>
  </si>
  <si>
    <t>2017-000398</t>
  </si>
  <si>
    <t>BERRIOS FERNANDEZ, EDUARDO</t>
  </si>
  <si>
    <t>2017-000429</t>
  </si>
  <si>
    <t>ORTIZ SANTOS, RAFAEL</t>
  </si>
  <si>
    <t>2018-000044</t>
  </si>
  <si>
    <t>ROSADO SOTO, LILLIAM</t>
  </si>
  <si>
    <t>2017-000426</t>
  </si>
  <si>
    <t>RIVERA CARRASQUILLO, LUIS</t>
  </si>
  <si>
    <t>2017-000427</t>
  </si>
  <si>
    <t>MALDONADO RODRIGUEZ, ROBERTO</t>
  </si>
  <si>
    <t>2017-000465</t>
  </si>
  <si>
    <t>MILDRED ARCE TIRADO</t>
  </si>
  <si>
    <t>2017-000324</t>
  </si>
  <si>
    <t>NAZARIO PAGAN, LIZ J.</t>
  </si>
  <si>
    <t>2017-000326</t>
  </si>
  <si>
    <t>BURGOS ORTIZ, BESSEMER</t>
  </si>
  <si>
    <t>2017-000444</t>
  </si>
  <si>
    <t>JOSE J DIAZ VAZQUEZ</t>
  </si>
  <si>
    <t>2017-000471</t>
  </si>
  <si>
    <t>SANCHEZ SURILLO, MAYRA</t>
  </si>
  <si>
    <t>2018-000010</t>
  </si>
  <si>
    <t xml:space="preserve">ACEVEDO RIOS, OMAYRA </t>
  </si>
  <si>
    <t>2017-000394</t>
  </si>
  <si>
    <t>OSORIO VALENCIA, EDWIN</t>
  </si>
  <si>
    <t>2017-000320</t>
  </si>
  <si>
    <t>MARILUZ CORTES TORRES</t>
  </si>
  <si>
    <t>2017-000381</t>
  </si>
  <si>
    <t>COLON ORTIZ, WILSON</t>
  </si>
  <si>
    <t>2017-000411</t>
  </si>
  <si>
    <t>FELIX TORRES RODRIGUEZ</t>
  </si>
  <si>
    <t>2017-000437</t>
  </si>
  <si>
    <t>IVAN DAVILA PEREZ</t>
  </si>
  <si>
    <t>2017-000443</t>
  </si>
  <si>
    <t>MELENDEZ ROSA, XIOMARA</t>
  </si>
  <si>
    <t>2017-000470</t>
  </si>
  <si>
    <t>FIGUEROA ROSA, BRUNILDA</t>
  </si>
  <si>
    <t>2017-000372</t>
  </si>
  <si>
    <t>ALVARADO FERNANDEZ, GERSON</t>
  </si>
  <si>
    <t>FIE-2016-2017-IIP-0006</t>
  </si>
  <si>
    <t>2017-000436</t>
  </si>
  <si>
    <t>2017-000428</t>
  </si>
  <si>
    <t>RAFAEL VAZQUEZ NEGRON</t>
  </si>
  <si>
    <t>2017-000462</t>
  </si>
  <si>
    <t xml:space="preserve">GREEN PALACE CONVENTION CENTER </t>
  </si>
  <si>
    <t>2017-000463</t>
  </si>
  <si>
    <t>PURO DISENO</t>
  </si>
  <si>
    <t>2017-000404</t>
  </si>
  <si>
    <t>L.R. PRINTING CORP.</t>
  </si>
  <si>
    <t>2017-000403</t>
  </si>
  <si>
    <t>JAIME CRUZ LEON</t>
  </si>
  <si>
    <t>2017-000453</t>
  </si>
  <si>
    <t>MORALES ORTEGA, MANUEL DE J.</t>
  </si>
  <si>
    <t>FIE-2016-2017-IIP-0019</t>
  </si>
  <si>
    <t>2017-000316</t>
  </si>
  <si>
    <t>SENORIAL BREWING CORP.</t>
  </si>
  <si>
    <t>FIE-2016-2017-IIP-0020</t>
  </si>
  <si>
    <t>2017-000310</t>
  </si>
  <si>
    <t>DUI, INC. - IMAGE FIRST</t>
  </si>
  <si>
    <t>FIE-2016-2017-IIP-0021</t>
  </si>
  <si>
    <t>2017-000197</t>
  </si>
  <si>
    <t>TECHNO PLASTICS INDUSTRIES, INC</t>
  </si>
  <si>
    <t>FIE-2016-2017-IIP-0030</t>
  </si>
  <si>
    <t>2017-000234</t>
  </si>
  <si>
    <t>CENTRAL PACKAGING CARIBE,INC.</t>
  </si>
  <si>
    <t>FIE-2016-2017-IIP-0031</t>
  </si>
  <si>
    <t>2017-000244</t>
  </si>
  <si>
    <t>GREEN ENERGY FOR ALL, LLC</t>
  </si>
  <si>
    <t>FIE-2016-2017-IIP-0032</t>
  </si>
  <si>
    <t>2017-000266</t>
  </si>
  <si>
    <t>MAXIMO SOLAR INDUSTRIES</t>
  </si>
  <si>
    <t>FIE-2016-2017-IIP-0033</t>
  </si>
  <si>
    <t>2017-000265</t>
  </si>
  <si>
    <t>FIE-2016-2017-IIP-0034</t>
  </si>
  <si>
    <t>2017-000264</t>
  </si>
  <si>
    <t>FIE-2016-2017-IIP-0036</t>
  </si>
  <si>
    <t>2017-000476</t>
  </si>
  <si>
    <t>3A PRESS CORP.</t>
  </si>
  <si>
    <t>2017-000477</t>
  </si>
  <si>
    <t>DULZURA BORINCANA,INC.</t>
  </si>
  <si>
    <t>2017-000214</t>
  </si>
  <si>
    <t>COMPUTER EXPERT GROUP LLC</t>
  </si>
  <si>
    <t>2017-000274</t>
  </si>
  <si>
    <t>VALIDATION &amp; ENGINEERING GROUP INC</t>
  </si>
  <si>
    <t>2017-000336</t>
  </si>
  <si>
    <t>B &amp; B MANUFACTURING CORP.</t>
  </si>
  <si>
    <t>2017-000337</t>
  </si>
  <si>
    <t>2017-000338</t>
  </si>
  <si>
    <t>2017-000347</t>
  </si>
  <si>
    <t>TELEMEDIK INNOVA HEALTH SOLUTIONS, INC.</t>
  </si>
  <si>
    <t>2017-000478</t>
  </si>
  <si>
    <t>INTERNET VISION DEVELOPMENT CORP.</t>
  </si>
  <si>
    <t>FIE-2016-2017-IIP-0037</t>
  </si>
  <si>
    <t>2018-000335</t>
  </si>
  <si>
    <t>TOLEDO &amp; CO., INC.</t>
  </si>
  <si>
    <t>2018-000190</t>
  </si>
  <si>
    <t>UNIVERSAL CHEMICAL CORP.</t>
  </si>
  <si>
    <t>2018-000384</t>
  </si>
  <si>
    <t>MS MANGO FARM, LLC</t>
  </si>
  <si>
    <t>2017-000339</t>
  </si>
  <si>
    <t>2017-000220</t>
  </si>
  <si>
    <t>MISTOLIN CARIBE, INC.</t>
  </si>
  <si>
    <t>FIE-2016-2017-IIP-0039</t>
  </si>
  <si>
    <t>2017-000263</t>
  </si>
  <si>
    <t>FIE-2016-2017-IIP-0053</t>
  </si>
  <si>
    <t>2018-000380</t>
  </si>
  <si>
    <t>SOFTEX PRODUCTS, INC.</t>
  </si>
  <si>
    <t>FIE-2016-2017-IIP-0054</t>
  </si>
  <si>
    <t>FIE-2016-2017-IIP-0055</t>
  </si>
  <si>
    <t>FIE-2016-2017-IIP-0056</t>
  </si>
  <si>
    <t>FIE-2016-2017-IIP-0057</t>
  </si>
  <si>
    <t>CRISTALES CURVOS Y TEMPLADOS JMMC, INC.</t>
  </si>
  <si>
    <t>FIE-2016-2017-IIP-0058</t>
  </si>
  <si>
    <t>2018-000029</t>
  </si>
  <si>
    <t>ZONA AGRICOLA, LLC</t>
  </si>
  <si>
    <t>FIE-2016-2017-IIP-0059</t>
  </si>
  <si>
    <t>2018-000113</t>
  </si>
  <si>
    <t>FIE-2016-2017-IIP-0060</t>
  </si>
  <si>
    <t>2019-000287</t>
  </si>
  <si>
    <t>ORIGINAL FOOTWEAR LLC</t>
  </si>
  <si>
    <t>FIE-2016-2017-IIP-0061</t>
  </si>
  <si>
    <t>2019-000312</t>
  </si>
  <si>
    <t>FIE-2016-2017-IIP-0063</t>
  </si>
  <si>
    <t>2018-000166</t>
  </si>
  <si>
    <t>FIE-2016-2017-IIP-0064</t>
  </si>
  <si>
    <t>2018-000191</t>
  </si>
  <si>
    <t>GLOBAL-TEK MANUFACTURING, LLC</t>
  </si>
  <si>
    <t>FIE-2016-2017-IIP-0065</t>
  </si>
  <si>
    <t>2018-000193</t>
  </si>
  <si>
    <t>FIE-2016-2017-IIP-0067</t>
  </si>
  <si>
    <t>2018-000292-A</t>
  </si>
  <si>
    <t>RODRIGUEZ ENTERPRISES, INC.</t>
  </si>
  <si>
    <t>FIE-2017-2018-IEE-0124</t>
  </si>
  <si>
    <t>FIE-2017-2018-IEE-0125</t>
  </si>
  <si>
    <t>FIE-2017-2018-IEE-0126</t>
  </si>
  <si>
    <t>FIE-2017-2018-IEE-0127</t>
  </si>
  <si>
    <t>FIE-2017-2018-IEE-0128</t>
  </si>
  <si>
    <t>FIE-2017-2018-IEE-0130</t>
  </si>
  <si>
    <t>FIE-2017-2018-IEE-0131</t>
  </si>
  <si>
    <t>FIE-2017-2018-IIE-0132</t>
  </si>
  <si>
    <t>A&amp;K DISTRIBUTORS PR LLC.</t>
  </si>
  <si>
    <t>FIE-2017-2018-IIE-0139</t>
  </si>
  <si>
    <t>2019-000101</t>
  </si>
  <si>
    <t>EAGLE INDUSTRIES DEL CARIBE ,INC.</t>
  </si>
  <si>
    <t>FIE-2017-2018-IIP-0001</t>
  </si>
  <si>
    <t>2018-000195</t>
  </si>
  <si>
    <t>GASCO INDUSTRIAL INC.</t>
  </si>
  <si>
    <t>FIE-2017-2018-IIP-0002</t>
  </si>
  <si>
    <t>2018-000330</t>
  </si>
  <si>
    <t xml:space="preserve">TEKSOL INTEGRATION GROUP, INC. </t>
  </si>
  <si>
    <t>FIE-2017-2018-IIP-0004</t>
  </si>
  <si>
    <t>2018-000121</t>
  </si>
  <si>
    <t>2018-000351</t>
  </si>
  <si>
    <t>2018-000352</t>
  </si>
  <si>
    <t>SOTO RAMOS, LOURDES</t>
  </si>
  <si>
    <t>2018-000353</t>
  </si>
  <si>
    <t>MEDINA CRUZ, MARIA</t>
  </si>
  <si>
    <t>2018-000379</t>
  </si>
  <si>
    <t>MILAGROS DELGADO DE RAMOS</t>
  </si>
  <si>
    <t>2018-000280</t>
  </si>
  <si>
    <t>2018-000281</t>
  </si>
  <si>
    <t>COCINA SELECTA, INC.</t>
  </si>
  <si>
    <t>2018-000403</t>
  </si>
  <si>
    <t>2018-000324</t>
  </si>
  <si>
    <t>GREGORY MERCADO, EFREN J.</t>
  </si>
  <si>
    <t>2018-000174</t>
  </si>
  <si>
    <t>2018-000331</t>
  </si>
  <si>
    <t>2018-000305</t>
  </si>
  <si>
    <t>CAFETERIA MI CASA UPRB</t>
  </si>
  <si>
    <t>2018-000354</t>
  </si>
  <si>
    <t>2018-000125</t>
  </si>
  <si>
    <t>2018-000119</t>
  </si>
  <si>
    <t>2018-000123</t>
  </si>
  <si>
    <t>2018-000147</t>
  </si>
  <si>
    <t>2018-000120</t>
  </si>
  <si>
    <t>GRANA RAFFUCCI, MAYRA S.</t>
  </si>
  <si>
    <t>2018-000129</t>
  </si>
  <si>
    <t>MUNIZ MARTINEZ, IRAIDA</t>
  </si>
  <si>
    <t>2018-000311</t>
  </si>
  <si>
    <t>2018-000318</t>
  </si>
  <si>
    <t>2018-000319</t>
  </si>
  <si>
    <t>SOTO HERNANDEZ, EDUARDO</t>
  </si>
  <si>
    <t>2018-000394</t>
  </si>
  <si>
    <t>2018-000172</t>
  </si>
  <si>
    <t>2018-000312</t>
  </si>
  <si>
    <t>FIGUEROA PEREZ, ALMA I.</t>
  </si>
  <si>
    <t>2018-000105</t>
  </si>
  <si>
    <t>ERICK J ORTIZ NEGRON</t>
  </si>
  <si>
    <t>2018-000115</t>
  </si>
  <si>
    <t>2018-000124</t>
  </si>
  <si>
    <t>JIMENEZ ROSA, CARMEN A.</t>
  </si>
  <si>
    <t>2018-000126</t>
  </si>
  <si>
    <t>2018-000122</t>
  </si>
  <si>
    <t>2018-000127</t>
  </si>
  <si>
    <t xml:space="preserve">GONZALEZ ELIAS, NADJA M. </t>
  </si>
  <si>
    <t>2018-000128</t>
  </si>
  <si>
    <t>2018-000309</t>
  </si>
  <si>
    <t>RIVERA SANTIAGO, ADALBERTO</t>
  </si>
  <si>
    <t>2018-000310</t>
  </si>
  <si>
    <t>2018-000315</t>
  </si>
  <si>
    <t>2018-000316</t>
  </si>
  <si>
    <t>2018-000317</t>
  </si>
  <si>
    <t>2018-000320</t>
  </si>
  <si>
    <t>2018-000366</t>
  </si>
  <si>
    <t>2018-000169</t>
  </si>
  <si>
    <t>2018-000290</t>
  </si>
  <si>
    <t xml:space="preserve">RODRIGUEZ RODRIGUEZ, GLADYS </t>
  </si>
  <si>
    <t>2018-000334</t>
  </si>
  <si>
    <t>JUANITA ALVAREZ NIEVES</t>
  </si>
  <si>
    <t>2018-000337</t>
  </si>
  <si>
    <t>2019-000064</t>
  </si>
  <si>
    <t>GONZALEZ MARTINEZ, SYLVIA R.</t>
  </si>
  <si>
    <t>2018-000350</t>
  </si>
  <si>
    <t>2018-000286</t>
  </si>
  <si>
    <t>2018-000173</t>
  </si>
  <si>
    <t>2018-000402</t>
  </si>
  <si>
    <t>2018-000323</t>
  </si>
  <si>
    <t>2018-000332</t>
  </si>
  <si>
    <t>2019-000206</t>
  </si>
  <si>
    <t>2018-000273</t>
  </si>
  <si>
    <t>2018-000085</t>
  </si>
  <si>
    <t>2018-000168-B</t>
  </si>
  <si>
    <t>2018-000179</t>
  </si>
  <si>
    <t xml:space="preserve">2018-000336 </t>
  </si>
  <si>
    <t>2018-000296</t>
  </si>
  <si>
    <t>2018-000392</t>
  </si>
  <si>
    <t>2018-000397</t>
  </si>
  <si>
    <t>FIE-2017-2018-IIP-0005</t>
  </si>
  <si>
    <t>2018-000274</t>
  </si>
  <si>
    <t xml:space="preserve">LABOY ACOSTA, LOURDES DEL R. </t>
  </si>
  <si>
    <t>2019-000065</t>
  </si>
  <si>
    <t>2018-000092</t>
  </si>
  <si>
    <t>FERNANDEZ RIOS, LOURDES</t>
  </si>
  <si>
    <t>2018-000393</t>
  </si>
  <si>
    <t>DIAZ RIVERA, ERASMO</t>
  </si>
  <si>
    <t>2018-000369</t>
  </si>
  <si>
    <t>ESPINOSA FERNANDEZ, JOSE</t>
  </si>
  <si>
    <t>2019-000032</t>
  </si>
  <si>
    <t>RIOS CORTES, JOSE A.</t>
  </si>
  <si>
    <t>2018-000084</t>
  </si>
  <si>
    <t>2018-000096</t>
  </si>
  <si>
    <t>ROSSELLO LEDESMA, DANIELA</t>
  </si>
  <si>
    <t>2018-000116</t>
  </si>
  <si>
    <t>AJINEET Z. GARRATEGUI GONZALEZ</t>
  </si>
  <si>
    <t>2018-000277</t>
  </si>
  <si>
    <t>ROSARIO CORA, IVONNE</t>
  </si>
  <si>
    <t>2018-000287</t>
  </si>
  <si>
    <t>AWILDA RODRIGUEZ HERNANDEZ</t>
  </si>
  <si>
    <t>2018-000294</t>
  </si>
  <si>
    <t xml:space="preserve">BALLESTE TORRES, SHEILA R. </t>
  </si>
  <si>
    <t>2018-000306</t>
  </si>
  <si>
    <t>2018-000307</t>
  </si>
  <si>
    <t xml:space="preserve">TABOAS MARRERO, JOSE A. </t>
  </si>
  <si>
    <t>2018-000359</t>
  </si>
  <si>
    <t xml:space="preserve">SMITH TORRES, JAVIER </t>
  </si>
  <si>
    <t>2018-000250</t>
  </si>
  <si>
    <t>GARCIA GRANADOS, JOSE</t>
  </si>
  <si>
    <t>FIE-2017-2018-IIP-0006</t>
  </si>
  <si>
    <t>2018-000410</t>
  </si>
  <si>
    <t>RIVERA COLON, JORGE L.</t>
  </si>
  <si>
    <t>2018-000411</t>
  </si>
  <si>
    <t>RUIZ ROMAN, NESTOR</t>
  </si>
  <si>
    <t>2018-000412</t>
  </si>
  <si>
    <t>FERNANDEZ LAZARO, LAURA</t>
  </si>
  <si>
    <t>2018-000413</t>
  </si>
  <si>
    <t>MORALES ACEVEDO, LEONARDA</t>
  </si>
  <si>
    <t>FIE-2017-2018-IIP-0007</t>
  </si>
  <si>
    <t>2018-000399</t>
  </si>
  <si>
    <t>2018-000400</t>
  </si>
  <si>
    <t>KRAMAS, INC.</t>
  </si>
  <si>
    <t>2018-000398</t>
  </si>
  <si>
    <t>ROBERTO GONZALEZ ROSADO</t>
  </si>
  <si>
    <t>2018-000406</t>
  </si>
  <si>
    <t>QUICK DELIVERY, INC</t>
  </si>
  <si>
    <t>2019-000011</t>
  </si>
  <si>
    <t>INTERTRADE DEVELOPMENT GROUP, INC.</t>
  </si>
  <si>
    <t>FIE-2017-2018-IIP-0008</t>
  </si>
  <si>
    <t>2019-000161</t>
  </si>
  <si>
    <t>OUTSOURCING SOLUTIONS</t>
  </si>
  <si>
    <t>2018-000371</t>
  </si>
  <si>
    <t>BEARING BUDDY ,INC.</t>
  </si>
  <si>
    <t>2019-000117</t>
  </si>
  <si>
    <t>ACRECENT FINANCIAL CORP.</t>
  </si>
  <si>
    <t>2019-000107</t>
  </si>
  <si>
    <t>BENITEZ METAL MFG., CORP.</t>
  </si>
  <si>
    <t>2018-000271</t>
  </si>
  <si>
    <t>2018-000368</t>
  </si>
  <si>
    <t>PRODUCTOS LA FINCA, INC.</t>
  </si>
  <si>
    <t>2018-000383</t>
  </si>
  <si>
    <t>HI-TEC BRAKES MFG. CO.</t>
  </si>
  <si>
    <t>2018-000396</t>
  </si>
  <si>
    <t>MICROJURIS.COM, INC</t>
  </si>
  <si>
    <t>2018-000404</t>
  </si>
  <si>
    <t>ENCO MANUFACTURING</t>
  </si>
  <si>
    <t xml:space="preserve">2019-000042 </t>
  </si>
  <si>
    <t>BULL BOND MFG CORP.</t>
  </si>
  <si>
    <t>2019-000090</t>
  </si>
  <si>
    <t>NAGNOI, INC.</t>
  </si>
  <si>
    <t>2019-000099</t>
  </si>
  <si>
    <t>SERVIMETAL, INC</t>
  </si>
  <si>
    <t>2019-000115</t>
  </si>
  <si>
    <t>CORTES HERMANOS, LLC</t>
  </si>
  <si>
    <t>2019-000146</t>
  </si>
  <si>
    <t>SAN MAR MANUFACTURING CORP.</t>
  </si>
  <si>
    <t>2018-000272-A</t>
  </si>
  <si>
    <t>MAREY HEATER CORPORATION</t>
  </si>
  <si>
    <t>FIE-2017-2018-IIP-0009</t>
  </si>
  <si>
    <t>2019-000162</t>
  </si>
  <si>
    <t>DONA YIYA FOODS, INC.</t>
  </si>
  <si>
    <t>2019-000043</t>
  </si>
  <si>
    <t>2019-000116</t>
  </si>
  <si>
    <t>AGUAYOS SHEET METAL MFG, INC.</t>
  </si>
  <si>
    <t>2018-000299</t>
  </si>
  <si>
    <t>PUERTO RICO STEEL PRODUCTS CORP.</t>
  </si>
  <si>
    <t>2018-000300</t>
  </si>
  <si>
    <t>2018-000385</t>
  </si>
  <si>
    <t>FIE-2017-2018-IIP-0010</t>
  </si>
  <si>
    <t>VALDES, GARCIA, MARIN &amp; MARTINEZ, LLP</t>
  </si>
  <si>
    <t>FIE-2017-2018-IIP-0012</t>
  </si>
  <si>
    <t>2018-000141</t>
  </si>
  <si>
    <t>NABRA POWDER COATING</t>
  </si>
  <si>
    <t>FIE-2017-2018-IIP-0013</t>
  </si>
  <si>
    <t>2018-000136</t>
  </si>
  <si>
    <t>TELECONTACTO-TELECONTACT EXPORT, INC.</t>
  </si>
  <si>
    <t>FIE-2017-2018-IIP-0014</t>
  </si>
  <si>
    <t>2018-000134</t>
  </si>
  <si>
    <t>INDUSTRIAL ROOFING, INC.</t>
  </si>
  <si>
    <t>FIE-2017-2018-IIP-0016</t>
  </si>
  <si>
    <t>2018-000144</t>
  </si>
  <si>
    <t>OSMI ENTERPRISES, INC. DBA SIGNS &amp; MEDIA</t>
  </si>
  <si>
    <t>FIE-2017-2018-IIP-0017</t>
  </si>
  <si>
    <t>2018-000145</t>
  </si>
  <si>
    <t>EL-COM SYSTEM SYSTEMS CORP.</t>
  </si>
  <si>
    <t>FIE-2017-2018-IIP-0018</t>
  </si>
  <si>
    <t>2018-000148</t>
  </si>
  <si>
    <t>FIE-2017-2018-IIP-0019</t>
  </si>
  <si>
    <t>2018-000140</t>
  </si>
  <si>
    <t>NEW LINE BOX CORP</t>
  </si>
  <si>
    <t>FIE-2017-2018-IIP-0020</t>
  </si>
  <si>
    <t>2018-000152</t>
  </si>
  <si>
    <t>H &amp; E HOME, INC.</t>
  </si>
  <si>
    <t>FIE-2017-2018-IIP-0021</t>
  </si>
  <si>
    <t>2018-000170</t>
  </si>
  <si>
    <t>SETAS DE PUERTO RICO</t>
  </si>
  <si>
    <t>FIE-2017-2018-IIP-0022</t>
  </si>
  <si>
    <t>2018-000143</t>
  </si>
  <si>
    <t>GRAPHIC WORLD</t>
  </si>
  <si>
    <t>FIE-2017-2018-IIP-0023</t>
  </si>
  <si>
    <t>2018-000138</t>
  </si>
  <si>
    <t>FIE-2017-2018-IIP-0024</t>
  </si>
  <si>
    <t>2018-000133</t>
  </si>
  <si>
    <t>LO DE TITA, INC.</t>
  </si>
  <si>
    <t>FIE-2017-2018-IIP-0025</t>
  </si>
  <si>
    <t>2018-000176</t>
  </si>
  <si>
    <t>GONZALEZ CONDE, VICTOR</t>
  </si>
  <si>
    <t>FIE-2017-2018-IIP-0027</t>
  </si>
  <si>
    <t>2018-000230</t>
  </si>
  <si>
    <t>CARLOS ESCRIBANO, LLC</t>
  </si>
  <si>
    <t>FIE-2017-2018-IIP-0028</t>
  </si>
  <si>
    <t>2018-000213</t>
  </si>
  <si>
    <t>DANOSA CARIBBEAN, INC.</t>
  </si>
  <si>
    <t>FIE-2017-2018-IIP-0029</t>
  </si>
  <si>
    <t>2018-000189</t>
  </si>
  <si>
    <t>FIE-2017-2018-IIP-0030</t>
  </si>
  <si>
    <t>2018-000153</t>
  </si>
  <si>
    <t>LARSEN PRODUCTS, INC.</t>
  </si>
  <si>
    <t>FIE-2017-2018-IIP-0031</t>
  </si>
  <si>
    <t>2018-000210</t>
  </si>
  <si>
    <t>FIE-2017-2018-IIP-0032</t>
  </si>
  <si>
    <t>2018-000142</t>
  </si>
  <si>
    <t>LA PALETERIA, INC.</t>
  </si>
  <si>
    <t>FIE-2017-2018-IIP-0033</t>
  </si>
  <si>
    <t>2018-000139</t>
  </si>
  <si>
    <t>CONCEPT DESIGN CREATE, LLC</t>
  </si>
  <si>
    <t>FIE-2017-2018-IIP-0034</t>
  </si>
  <si>
    <t>2018-000149</t>
  </si>
  <si>
    <t>FIE-2017-2018-IIP-0035</t>
  </si>
  <si>
    <t>2018-000167</t>
  </si>
  <si>
    <t>EMPRESAS BOBET, INC.</t>
  </si>
  <si>
    <t>FIE-2017-2018-IIP-0036</t>
  </si>
  <si>
    <t>2018-000255</t>
  </si>
  <si>
    <t>RONDA PRO, INC.</t>
  </si>
  <si>
    <t>FIE-2017-2018-IIP-0037</t>
  </si>
  <si>
    <t>2018-000135</t>
  </si>
  <si>
    <t>PASTRY FOOD PRODUCTS, INC.</t>
  </si>
  <si>
    <t>FIE-2017-2018-IIP-0038</t>
  </si>
  <si>
    <t>2018-000185</t>
  </si>
  <si>
    <t>FIE-2017-2018-IIP-0039</t>
  </si>
  <si>
    <t>2018-000151</t>
  </si>
  <si>
    <t>GEOGRAPHIC MAPPING TECHNOLOGIES CORP.</t>
  </si>
  <si>
    <t>FIE-2017-2018-IIP-0040</t>
  </si>
  <si>
    <t>2018-000203</t>
  </si>
  <si>
    <t>PHARMA-BIO SERV PR, INC</t>
  </si>
  <si>
    <t>FIE-2017-2018-IIP-0042</t>
  </si>
  <si>
    <t>2018-000204</t>
  </si>
  <si>
    <t>FEJ CARIBE PAINT CORP.</t>
  </si>
  <si>
    <t>FIE-2017-2018-IIP-0043</t>
  </si>
  <si>
    <t>2018-000207</t>
  </si>
  <si>
    <t>FINCA EL SOL DE JOAQUIN, INC./CAFE NATIVO</t>
  </si>
  <si>
    <t>FIE-2017-2018-IIP-0044</t>
  </si>
  <si>
    <t>2018-000237</t>
  </si>
  <si>
    <t>CAFE LEALTAD, INC.</t>
  </si>
  <si>
    <t>FIE-2017-2018-IIP-0045</t>
  </si>
  <si>
    <t>2018-000199</t>
  </si>
  <si>
    <t>DESTILERIA COQUI, INC.</t>
  </si>
  <si>
    <t>FIE-2017-2018-IIP-0046</t>
  </si>
  <si>
    <t>2018-000200</t>
  </si>
  <si>
    <t>REPOSTERIA ARTESANAL LAURA, INC</t>
  </si>
  <si>
    <t>FIE-2017-2018-IIP-0047</t>
  </si>
  <si>
    <t>2018-000206</t>
  </si>
  <si>
    <t>PROCESADORA LA ESPERANZA</t>
  </si>
  <si>
    <t>FIE-2017-2018-IIP-0048</t>
  </si>
  <si>
    <t>2018-000186</t>
  </si>
  <si>
    <t>IGPR, INC.</t>
  </si>
  <si>
    <t>FIE-2017-2018-IIP-0050</t>
  </si>
  <si>
    <t>2018-000201</t>
  </si>
  <si>
    <t>EGEA, INC. DBA TROPICAL VENDORS</t>
  </si>
  <si>
    <t>FIE-2017-2018-IIP-0052</t>
  </si>
  <si>
    <t>2018-000202</t>
  </si>
  <si>
    <t>CHULEKAN, INC.</t>
  </si>
  <si>
    <t>FIE-2017-2018-IIP-0053</t>
  </si>
  <si>
    <t>2018-000198</t>
  </si>
  <si>
    <t>LA POLA, LLC</t>
  </si>
  <si>
    <t>FIE-2017-2018-IIP-0055</t>
  </si>
  <si>
    <t>2018-000241</t>
  </si>
  <si>
    <t>ALCOR SIGN &amp; PRINT LLC</t>
  </si>
  <si>
    <t>FIE-2017-2018-IIP-0057</t>
  </si>
  <si>
    <t>2018-000218</t>
  </si>
  <si>
    <t>JR FAST DIGITAL PRINTING, INC</t>
  </si>
  <si>
    <t>FIE-2017-2018-IIP-0058</t>
  </si>
  <si>
    <t>2018-000175</t>
  </si>
  <si>
    <t>PURE PEDIC LLC</t>
  </si>
  <si>
    <t>FIE-2017-2018-IIP-0060</t>
  </si>
  <si>
    <t>2018-000242</t>
  </si>
  <si>
    <t>FIE-2017-2018-IIP-0061</t>
  </si>
  <si>
    <t>2018-000219</t>
  </si>
  <si>
    <t>YUMAC HOME FURNITURE,INC.</t>
  </si>
  <si>
    <t>FIE-2017-2018-IIP-0062</t>
  </si>
  <si>
    <t>2018-000227</t>
  </si>
  <si>
    <t>MATI APPLICATION SOLUTIONS LLC</t>
  </si>
  <si>
    <t>FIE-2017-2018-IIP-0063</t>
  </si>
  <si>
    <t>2018-000180</t>
  </si>
  <si>
    <t>PROFESSIONAL SEALING DEVICES CORP.</t>
  </si>
  <si>
    <t>FIE-2017-2018-IIP-0064</t>
  </si>
  <si>
    <t>2018-000214</t>
  </si>
  <si>
    <t>SORULLITOS MAMA TONA</t>
  </si>
  <si>
    <t>FIE-2017-2018-IIP-0065</t>
  </si>
  <si>
    <t>2018-000224</t>
  </si>
  <si>
    <t>FIE-2017-2018-IIP-0066</t>
  </si>
  <si>
    <t>2018-000246</t>
  </si>
  <si>
    <t>ESCO MANUFACTURING, INC.</t>
  </si>
  <si>
    <t>FIE-2017-2018-IIP-0067</t>
  </si>
  <si>
    <t>2018-000187</t>
  </si>
  <si>
    <t>EMBOTELLADORA DEL CARIBE</t>
  </si>
  <si>
    <t>FIE-2017-2018-IIP-0070</t>
  </si>
  <si>
    <t>2018-000211</t>
  </si>
  <si>
    <t>PRODUCTOS PACHECO, INC.</t>
  </si>
  <si>
    <t>FIE-2017-2018-IIP-0071</t>
  </si>
  <si>
    <t>2018-000238</t>
  </si>
  <si>
    <t>APIARIOS CARABALLO CORP.</t>
  </si>
  <si>
    <t>FIE-2017-2018-IIP-0072</t>
  </si>
  <si>
    <t>2018-000215</t>
  </si>
  <si>
    <t>CARIBBEAN ELECTROPLATING, INC.</t>
  </si>
  <si>
    <t>FIE-2017-2018-IIP-0074</t>
  </si>
  <si>
    <t>2018-000205</t>
  </si>
  <si>
    <t>FIE-2017-2018-IIP-0075</t>
  </si>
  <si>
    <t>2018-000239</t>
  </si>
  <si>
    <t>4T HOLDINGS, LLC</t>
  </si>
  <si>
    <t>FIE-2017-2018-IIP-0076</t>
  </si>
  <si>
    <t>2018-000221</t>
  </si>
  <si>
    <t>JOHN'S CARPET, INC.</t>
  </si>
  <si>
    <t>FIE-2017-2018-IIP-0077</t>
  </si>
  <si>
    <t>2018-000240</t>
  </si>
  <si>
    <t>HERRERO GRAPHIC PRINTING, INC.</t>
  </si>
  <si>
    <t>FIE-2017-2018-IIP-0078</t>
  </si>
  <si>
    <t>2018-000222</t>
  </si>
  <si>
    <t>FIE-2017-2018-IIP-0079</t>
  </si>
  <si>
    <t>2018-000226</t>
  </si>
  <si>
    <t>MASTER BLOCK AND PAVERS, LLC</t>
  </si>
  <si>
    <t>FIE-2017-2018-IIP-0080</t>
  </si>
  <si>
    <t>2018-000228</t>
  </si>
  <si>
    <t>HOGAREA MFG, INC.</t>
  </si>
  <si>
    <t>FIE-2017-2018-IIP-0081</t>
  </si>
  <si>
    <t>2018-000212</t>
  </si>
  <si>
    <t>NEW HORIZON CASKET CO.</t>
  </si>
  <si>
    <t>FIE-2017-2018-IIP-0083</t>
  </si>
  <si>
    <t>2018-000232</t>
  </si>
  <si>
    <t>DLP OPTIMUM SERVICES CORP.</t>
  </si>
  <si>
    <t>FIE-2017-2018-IIP-0084</t>
  </si>
  <si>
    <t>2018-000217</t>
  </si>
  <si>
    <t>WF COMPUTER SERVICES, INC.</t>
  </si>
  <si>
    <t>FIE-2017-2018-IIP-0085</t>
  </si>
  <si>
    <t>2018-000216</t>
  </si>
  <si>
    <t>SOTO MATOS, CHRISTIAN J.</t>
  </si>
  <si>
    <t>FIE-2017-2018-IIP-0086</t>
  </si>
  <si>
    <t>ALL ALUMINUM MANUFACTURING INC.</t>
  </si>
  <si>
    <t>FIE-2017-2018-IIP-0087</t>
  </si>
  <si>
    <t>2018-000225</t>
  </si>
  <si>
    <t>ORNAMENTACION QUINTANA, INC.</t>
  </si>
  <si>
    <t>FIE-2017-2018-IIP-0088</t>
  </si>
  <si>
    <t>2018-000220</t>
  </si>
  <si>
    <t>QUESOS DE LA HACIENDA, INC.</t>
  </si>
  <si>
    <t>FIE-2017-2018-IIP-0089</t>
  </si>
  <si>
    <t>2018-000223</t>
  </si>
  <si>
    <t>GONZALEZ ROSADO, MANUEL A.</t>
  </si>
  <si>
    <t>FIE-2017-2018-IIP-0090</t>
  </si>
  <si>
    <t>2018-000233</t>
  </si>
  <si>
    <t>JR DRAPERY, INC.</t>
  </si>
  <si>
    <t>FIE-2017-2018-IIP-0091</t>
  </si>
  <si>
    <t>2018-000231</t>
  </si>
  <si>
    <t>SABRINA BOTTLING GROUP, INC.</t>
  </si>
  <si>
    <t>FIE-2017-2018-IIP-0092</t>
  </si>
  <si>
    <t>2018-000247</t>
  </si>
  <si>
    <t>CARIBE WATER TECHNOLOGY, INC</t>
  </si>
  <si>
    <t>FIE-2017-2018-IIP-0094</t>
  </si>
  <si>
    <t>2018-000229</t>
  </si>
  <si>
    <t xml:space="preserve">MARTY ROSARIO, SANDRA HNC </t>
  </si>
  <si>
    <t>FIE-2017-2018-IIP-0096</t>
  </si>
  <si>
    <t>2018-000283</t>
  </si>
  <si>
    <t>RONES SUPERIORES DE PUERTO RICO &amp; CO, INC.</t>
  </si>
  <si>
    <t>FIE-2017-2018-IIP-0099</t>
  </si>
  <si>
    <t>2018-000243</t>
  </si>
  <si>
    <t>SAVOR CRAFTERS LLC</t>
  </si>
  <si>
    <t>FIE-2017-2018-IIP-0100</t>
  </si>
  <si>
    <t>2018-000248</t>
  </si>
  <si>
    <t>FIE-2017-2018-IIP-0101</t>
  </si>
  <si>
    <t>2018-000244</t>
  </si>
  <si>
    <t>HISPALIS CORP.</t>
  </si>
  <si>
    <t>FIE-2017-2018-IIP-0102</t>
  </si>
  <si>
    <t>2018-000249</t>
  </si>
  <si>
    <t>AGROPEK LLC</t>
  </si>
  <si>
    <t>FIE-2017-2018-IIP-0103</t>
  </si>
  <si>
    <t>2018-000245</t>
  </si>
  <si>
    <t>EDELCAR, INC</t>
  </si>
  <si>
    <t>FIE-2017-2018-IIP-0104</t>
  </si>
  <si>
    <t>2018-000291</t>
  </si>
  <si>
    <t>FIE-2017-2018-IIP-0105</t>
  </si>
  <si>
    <t>2019-000024</t>
  </si>
  <si>
    <t xml:space="preserve">REPR CORP. </t>
  </si>
  <si>
    <t>FIE-2017-2018-IIP-0106</t>
  </si>
  <si>
    <t>DEFPAC CORP.</t>
  </si>
  <si>
    <t>FIE-2017-2018-IIP-0107</t>
  </si>
  <si>
    <t>2019-000198</t>
  </si>
  <si>
    <t>COOPERATIVA AGRICULTORES DEL SUROESTE</t>
  </si>
  <si>
    <t>FIE-2017-2018-IIP-0108</t>
  </si>
  <si>
    <t>2018-000325</t>
  </si>
  <si>
    <t xml:space="preserve">HNOS. RODRIGUEZ GONZALEZ D/B/A </t>
  </si>
  <si>
    <t>FIE-2017-2018-IIP-0109</t>
  </si>
  <si>
    <t>2018-000329</t>
  </si>
  <si>
    <t>FIE-2017-2018-IIP-0111</t>
  </si>
  <si>
    <t>2020-000425</t>
  </si>
  <si>
    <t xml:space="preserve">QUICK PRINT SOLUTIONS, LLC </t>
  </si>
  <si>
    <t>FIE-2017-2018-IIP-0112</t>
  </si>
  <si>
    <t>2018-000377</t>
  </si>
  <si>
    <t>VALERO, INC.</t>
  </si>
  <si>
    <t>FIE-2017-2018-IIP-0113</t>
  </si>
  <si>
    <t>2019-000174</t>
  </si>
  <si>
    <t>V F ALUMINUM CORP.</t>
  </si>
  <si>
    <t>FIE-2017-2018-IIP-0114</t>
  </si>
  <si>
    <t>FIE-2017-2018-IIP-0115</t>
  </si>
  <si>
    <t>2018-000390</t>
  </si>
  <si>
    <t>NATURAL SOUPS, INC.</t>
  </si>
  <si>
    <t>FIE-2017-2018-IIP-0116</t>
  </si>
  <si>
    <t>EFRAIN LUGO H/N/C PONCE SAILING CENTER</t>
  </si>
  <si>
    <t>FIE-2017-2018-IIP-0117</t>
  </si>
  <si>
    <t xml:space="preserve">LABELS &amp; MORE MANUFACTURING LLC </t>
  </si>
  <si>
    <t>FIE-2017-2018-IIP-0118</t>
  </si>
  <si>
    <t>2019-000028</t>
  </si>
  <si>
    <t>BEACONMD TECHNOLOGIES LLC</t>
  </si>
  <si>
    <t>FIE-2017-2018-IIP-0119</t>
  </si>
  <si>
    <t>2019-000020-A</t>
  </si>
  <si>
    <t>PRIME AIR CORP.</t>
  </si>
  <si>
    <t>FIE-2017-2018-IIP-0120</t>
  </si>
  <si>
    <t>2018-000407</t>
  </si>
  <si>
    <t>EMPACADORA Y PROCESADORA DEL SUR, INC</t>
  </si>
  <si>
    <t>FIE-2017-2018-IIP-0121</t>
  </si>
  <si>
    <t>2019-000214</t>
  </si>
  <si>
    <t xml:space="preserve">EMANUELLI RESEARCH &amp; DEVELOPMENT CENTER LLC </t>
  </si>
  <si>
    <t>FIE-2017-2018-IIP-0122</t>
  </si>
  <si>
    <t>2019-000221</t>
  </si>
  <si>
    <t>FIE-2017-2018-IIP-0123</t>
  </si>
  <si>
    <t>2019-000021-B</t>
  </si>
  <si>
    <t>FIE-2017-2018-IIP-0133</t>
  </si>
  <si>
    <t>2019-000202</t>
  </si>
  <si>
    <t>MEDICAL BILLING SERVICES OF PR, INC.</t>
  </si>
  <si>
    <t>FIE-2017-2018-IIP-0134</t>
  </si>
  <si>
    <t>2019-000208</t>
  </si>
  <si>
    <t>FIE-2017-2018-IIP-0135</t>
  </si>
  <si>
    <t>MADE IN PR</t>
  </si>
  <si>
    <t>FIE-2017-2018-IIP-0138</t>
  </si>
  <si>
    <t>2019-000158</t>
  </si>
  <si>
    <t>LECAR RADIATORS IND. COOLING SOLUTIONS, INC.</t>
  </si>
  <si>
    <t>FIE-2017-2018-IIP-0140</t>
  </si>
  <si>
    <t>2019-000388</t>
  </si>
  <si>
    <t>BUFFALO PRINTING, INC.</t>
  </si>
  <si>
    <t>FIE-2018-2019-IEE-0028</t>
  </si>
  <si>
    <t>2019-000268</t>
  </si>
  <si>
    <t>FIE-2018-2019-IEE-0031</t>
  </si>
  <si>
    <t>2019-000269</t>
  </si>
  <si>
    <t>FIE-2018-2019-IEE-0032</t>
  </si>
  <si>
    <t>2019-000252</t>
  </si>
  <si>
    <t>FIE-2018-2019-IEE-0034</t>
  </si>
  <si>
    <t>2019-000327</t>
  </si>
  <si>
    <t>FIE-2018-2019-IEE-0041</t>
  </si>
  <si>
    <t>2019-000346</t>
  </si>
  <si>
    <t>FIE-2018-2019-IEE-0043</t>
  </si>
  <si>
    <t>2019-000414</t>
  </si>
  <si>
    <t>FIE-2018-2019-IEE-0044</t>
  </si>
  <si>
    <t>2019-000401</t>
  </si>
  <si>
    <t>FIE-2018-2019-IEE-0045</t>
  </si>
  <si>
    <t>2019-000252-A</t>
  </si>
  <si>
    <t>FIE-2018-2019-IEE-0046</t>
  </si>
  <si>
    <t>2019-000353</t>
  </si>
  <si>
    <t>FIE-2018-2019-IEE-0059</t>
  </si>
  <si>
    <t>2019-000448</t>
  </si>
  <si>
    <t>FIE-2018-2019-IEE-0060</t>
  </si>
  <si>
    <t>2019-000448-A</t>
  </si>
  <si>
    <t>FIE-2018-2019-IEE-0061</t>
  </si>
  <si>
    <t>2020-000013</t>
  </si>
  <si>
    <t>FIE-2018-2019-IEE-0062</t>
  </si>
  <si>
    <t>2020-000013-A</t>
  </si>
  <si>
    <t>FIE-2018-2019-IEE-0063</t>
  </si>
  <si>
    <t>2019-000268-A</t>
  </si>
  <si>
    <t>FIE-2018-2019-IEE-0064</t>
  </si>
  <si>
    <t>2019-000269-A</t>
  </si>
  <si>
    <t>FIE-2018-2019-IEE-0065</t>
  </si>
  <si>
    <t>2019-000353-A</t>
  </si>
  <si>
    <t>FIE-2018-2019-IEE-0066</t>
  </si>
  <si>
    <t>2019-000431</t>
  </si>
  <si>
    <t>GLOBAL MANUFACTURING LLC</t>
  </si>
  <si>
    <t>FIE-2018-2019-IEE-0067</t>
  </si>
  <si>
    <t>2019-000431-A</t>
  </si>
  <si>
    <t>FIE-2018-2019-IEE-0068</t>
  </si>
  <si>
    <t>2019-000346-A</t>
  </si>
  <si>
    <t>FIE-2018-2019-IEE-0069</t>
  </si>
  <si>
    <t>2019-000327-A</t>
  </si>
  <si>
    <t>FIE-2018-2019-IEE-0070</t>
  </si>
  <si>
    <t>2019-000414-A</t>
  </si>
  <si>
    <t>FIE-2018-2019-IEE-0075</t>
  </si>
  <si>
    <t>2019-000401-A</t>
  </si>
  <si>
    <t>FIE-2018-2019-IEE-0076</t>
  </si>
  <si>
    <t>2019-000353-B</t>
  </si>
  <si>
    <t>FIE-2018-2019-IEE-0077</t>
  </si>
  <si>
    <t>2019-000327-B</t>
  </si>
  <si>
    <t>FIE-2018-2019-IEE-0078</t>
  </si>
  <si>
    <t>2019-000346-B</t>
  </si>
  <si>
    <t>FIE-2018-2019-IEE-0079</t>
  </si>
  <si>
    <t>2020-000005</t>
  </si>
  <si>
    <t>FIE-2018-2019-IEE-0080</t>
  </si>
  <si>
    <t>2020-000005-A</t>
  </si>
  <si>
    <t>FIE-2018-2019-IEE-0089</t>
  </si>
  <si>
    <t>2019-000431-B</t>
  </si>
  <si>
    <t>FIE-2018-2019-IEE-0090</t>
  </si>
  <si>
    <t>2020-000005-B</t>
  </si>
  <si>
    <t>FIE-2018-2019-IEE-0092</t>
  </si>
  <si>
    <t>2019-000252-B</t>
  </si>
  <si>
    <t>FIE-2018-2019-IIE-0037</t>
  </si>
  <si>
    <t xml:space="preserve">HEWLETT-PACKARD CARIBE BV </t>
  </si>
  <si>
    <t>FIE-2018-2019-IIE-0073</t>
  </si>
  <si>
    <t>2020-000062</t>
  </si>
  <si>
    <t>WBP LLC</t>
  </si>
  <si>
    <t>FIE-2018-2019-IIE-0082</t>
  </si>
  <si>
    <t>2020-000043</t>
  </si>
  <si>
    <t>GREEN EARTH TEK PR LLC</t>
  </si>
  <si>
    <t>FIE-2018-2019-IIE-0083</t>
  </si>
  <si>
    <t>2020-000042</t>
  </si>
  <si>
    <t>FIE-2018-2019-IIP-0001</t>
  </si>
  <si>
    <t>BE JUICE PR LLC</t>
  </si>
  <si>
    <t>FIE-2018-2019-IIP-0002</t>
  </si>
  <si>
    <t>FIE-2018-2019-IIP-0003</t>
  </si>
  <si>
    <t>2019-000305</t>
  </si>
  <si>
    <t>BEARSE TACTICAL SEWING PR LLC</t>
  </si>
  <si>
    <t>FIE-2018-2019-IIP-0004</t>
  </si>
  <si>
    <t>2019-000306</t>
  </si>
  <si>
    <t>FIE-2018-2019-IIP-0005</t>
  </si>
  <si>
    <t>R BROTHERS LLC</t>
  </si>
  <si>
    <t>FIE-2018-2019-IIP-0006</t>
  </si>
  <si>
    <t>2019-000118</t>
  </si>
  <si>
    <t>CUSTOM MANUFACTURING CORP.</t>
  </si>
  <si>
    <t>FIE-2018-2019-IIP-0007</t>
  </si>
  <si>
    <t>2019-000474</t>
  </si>
  <si>
    <t>FIE-2018-2019-IIP-0009</t>
  </si>
  <si>
    <t>FIE-2018-2019-IIP-0010</t>
  </si>
  <si>
    <t>2019-000165</t>
  </si>
  <si>
    <t>TAYLOR INDUSTRIAL CORP.</t>
  </si>
  <si>
    <t>FIE-2018-2019-IIP-0011</t>
  </si>
  <si>
    <t>2019-000460</t>
  </si>
  <si>
    <t>OPTI MANUFACTURING CORP</t>
  </si>
  <si>
    <t>2019-000505</t>
  </si>
  <si>
    <t>FOGEL CARIBBEAN CORP.</t>
  </si>
  <si>
    <t>2019-000450</t>
  </si>
  <si>
    <t>ACE CONSTRUCTION SUPPLIES, INC.</t>
  </si>
  <si>
    <t>2019-000510</t>
  </si>
  <si>
    <t>BETTINA COSMETICS, INC.</t>
  </si>
  <si>
    <t>2019-000500</t>
  </si>
  <si>
    <t>2019-000494</t>
  </si>
  <si>
    <t>2019-000509</t>
  </si>
  <si>
    <t>ROVIRA FOODS, INC</t>
  </si>
  <si>
    <t>FIE-2018-2019-IIP-0012</t>
  </si>
  <si>
    <t>2019-000396</t>
  </si>
  <si>
    <t>2019-000469</t>
  </si>
  <si>
    <t>2019-000463</t>
  </si>
  <si>
    <t>RIOS TORRES, EVELYN</t>
  </si>
  <si>
    <t>2019-000464</t>
  </si>
  <si>
    <t xml:space="preserve">BATISTA PIZARRO, ZENILDA </t>
  </si>
  <si>
    <t>2019-000465</t>
  </si>
  <si>
    <t>BARADA AYALA, ROSA A.</t>
  </si>
  <si>
    <t>2019-000466</t>
  </si>
  <si>
    <t xml:space="preserve">RUIZ GONZALEZ, LUZ D. </t>
  </si>
  <si>
    <t>2019-000467</t>
  </si>
  <si>
    <t>2019-000212</t>
  </si>
  <si>
    <t>2019-000083</t>
  </si>
  <si>
    <t>2019-000082</t>
  </si>
  <si>
    <t>2019-000382</t>
  </si>
  <si>
    <t xml:space="preserve">CALDERON PARRILLA, LYDIA </t>
  </si>
  <si>
    <t>2019-000380</t>
  </si>
  <si>
    <t xml:space="preserve">RIVERA GARCIA, GLADYS E. </t>
  </si>
  <si>
    <t>2019-000468</t>
  </si>
  <si>
    <t>2019-000349</t>
  </si>
  <si>
    <t>2019-000318</t>
  </si>
  <si>
    <t>2019-000172</t>
  </si>
  <si>
    <t>MUNICIPIO DE JAYUYA</t>
  </si>
  <si>
    <t>2019-000192</t>
  </si>
  <si>
    <t>ITA'S CATERING, INC.</t>
  </si>
  <si>
    <t>2019-000379</t>
  </si>
  <si>
    <t>AYALA BORIA, MARIEL</t>
  </si>
  <si>
    <t>2019-000383</t>
  </si>
  <si>
    <t>COTTO BARADA, EDWIN</t>
  </si>
  <si>
    <t>2019-000123</t>
  </si>
  <si>
    <t>2019-000128</t>
  </si>
  <si>
    <t>2019-000129</t>
  </si>
  <si>
    <t>2019-000298</t>
  </si>
  <si>
    <t>2019-000415</t>
  </si>
  <si>
    <t>MUNICIPIO DE HATILLO</t>
  </si>
  <si>
    <t>2019-000441</t>
  </si>
  <si>
    <t>PAGAN AYALA, WILBERT</t>
  </si>
  <si>
    <t>2019-000231</t>
  </si>
  <si>
    <t>2019-000265</t>
  </si>
  <si>
    <t>MUNICIPIO DE MARICAO</t>
  </si>
  <si>
    <t>2019-000120</t>
  </si>
  <si>
    <t>2019-000122</t>
  </si>
  <si>
    <t>2019-000124</t>
  </si>
  <si>
    <t>2019-000125</t>
  </si>
  <si>
    <t>2019-000126</t>
  </si>
  <si>
    <t>2019-000127</t>
  </si>
  <si>
    <t>LEIVA ALVAREZ, DELVIS R.</t>
  </si>
  <si>
    <t>2019-000130</t>
  </si>
  <si>
    <t>GONZALEZ SANCHEZ, LEONEL</t>
  </si>
  <si>
    <t>2019-000131</t>
  </si>
  <si>
    <t>2019-000132</t>
  </si>
  <si>
    <t>2019-000291</t>
  </si>
  <si>
    <t>2019-000292</t>
  </si>
  <si>
    <t>2019-000293</t>
  </si>
  <si>
    <t>2019-000294</t>
  </si>
  <si>
    <t>2019-000295</t>
  </si>
  <si>
    <t>2019-000296</t>
  </si>
  <si>
    <t>2019-000299</t>
  </si>
  <si>
    <t>SANCHEZ-MIGUEL, MARIA M.</t>
  </si>
  <si>
    <t>2019-000300</t>
  </si>
  <si>
    <t>BARCELO JIMENEZ, SARA</t>
  </si>
  <si>
    <t>2019-000301</t>
  </si>
  <si>
    <t>2019-000302</t>
  </si>
  <si>
    <t>2019-000152</t>
  </si>
  <si>
    <t>2019-000428</t>
  </si>
  <si>
    <t>PARROQUIA SAN JOSE OBRERO</t>
  </si>
  <si>
    <t>2019-000213</t>
  </si>
  <si>
    <t>2019-000173-A</t>
  </si>
  <si>
    <t>2020-000039</t>
  </si>
  <si>
    <t>2019-000121</t>
  </si>
  <si>
    <t>2019-000413</t>
  </si>
  <si>
    <t>RAFAEL TRINIDAD PELLICIER</t>
  </si>
  <si>
    <t>2019-000378</t>
  </si>
  <si>
    <t>2019-000355</t>
  </si>
  <si>
    <t>2019-000259</t>
  </si>
  <si>
    <t>2019-000230</t>
  </si>
  <si>
    <t>2019-000501</t>
  </si>
  <si>
    <t>PEREZ QUINTANA, EVA N.</t>
  </si>
  <si>
    <t>2019-000370</t>
  </si>
  <si>
    <t xml:space="preserve">MARTINEZ BARRIOS, ABDIEL </t>
  </si>
  <si>
    <t>2019-000371</t>
  </si>
  <si>
    <t>2019-000303-A</t>
  </si>
  <si>
    <t>2019-000369</t>
  </si>
  <si>
    <t>2019-000134</t>
  </si>
  <si>
    <t>2019-000325</t>
  </si>
  <si>
    <t>2019-000149</t>
  </si>
  <si>
    <t>PEREZ GONZALEZ, WILFREDO</t>
  </si>
  <si>
    <t>2019-000087</t>
  </si>
  <si>
    <t>2019-000177</t>
  </si>
  <si>
    <t>ALEX RIOS FERNANDEZ</t>
  </si>
  <si>
    <t>2019-000076</t>
  </si>
  <si>
    <t>2019-000191</t>
  </si>
  <si>
    <t>NAPOLES SALES &amp; RENTAL CORPORATION</t>
  </si>
  <si>
    <t>2019-000207</t>
  </si>
  <si>
    <t>FAZAA CORPORATION</t>
  </si>
  <si>
    <t>2019-000196</t>
  </si>
  <si>
    <t>2019-000258</t>
  </si>
  <si>
    <t>2019-000077</t>
  </si>
  <si>
    <t xml:space="preserve">PRODUCCIONES ALFONSO SANABRIA </t>
  </si>
  <si>
    <t>2019-000205</t>
  </si>
  <si>
    <t>2019-000245</t>
  </si>
  <si>
    <t>2019-000271</t>
  </si>
  <si>
    <t>2019-000183</t>
  </si>
  <si>
    <t>2019-000354</t>
  </si>
  <si>
    <t>2019-000462</t>
  </si>
  <si>
    <t>2020-000024</t>
  </si>
  <si>
    <t>2019-000427</t>
  </si>
  <si>
    <t>ZULMA SANTIAGO CONSULTORES, INC.</t>
  </si>
  <si>
    <t>FIE-2018-2019-IIP-0013</t>
  </si>
  <si>
    <t>2019-000381</t>
  </si>
  <si>
    <t>2019-000397</t>
  </si>
  <si>
    <t>BRAVO RIVERA, SONIA</t>
  </si>
  <si>
    <t>2020-000006</t>
  </si>
  <si>
    <t>RUIZ ADROVER, NORBERTO J.</t>
  </si>
  <si>
    <t>2019-000267</t>
  </si>
  <si>
    <t>ACEVEDO MENDEZ, RUBEN</t>
  </si>
  <si>
    <t>2019-000395</t>
  </si>
  <si>
    <t>2019-000270</t>
  </si>
  <si>
    <t>ROMAN PEREZ, HECTOR M.</t>
  </si>
  <si>
    <t>2019-000407</t>
  </si>
  <si>
    <t>CAMACHO SIERRA, DINARY</t>
  </si>
  <si>
    <t>2020-000040</t>
  </si>
  <si>
    <t>PACHECO MARTI, JENNIFER</t>
  </si>
  <si>
    <t>2019-000168-B</t>
  </si>
  <si>
    <t>TERESA VIERA GONZALEZ</t>
  </si>
  <si>
    <t>2019-000334</t>
  </si>
  <si>
    <t>HOYOS DIEZ, LYLLAM</t>
  </si>
  <si>
    <t>2019-000282</t>
  </si>
  <si>
    <t>CENTENO FARIA, YESSENIA</t>
  </si>
  <si>
    <t>2019-000445</t>
  </si>
  <si>
    <t>SALAZAR TAVARA, GINA</t>
  </si>
  <si>
    <t>2019-000275</t>
  </si>
  <si>
    <t>DANIEL ROSA ARTURET</t>
  </si>
  <si>
    <t>2019-000442-A</t>
  </si>
  <si>
    <t>DELGADO GARCIA, MYRIAM E.</t>
  </si>
  <si>
    <t>2019-000135</t>
  </si>
  <si>
    <t>DIAZ DOMINGUEZ, ERIC</t>
  </si>
  <si>
    <t>2019-000333</t>
  </si>
  <si>
    <t>MIELES RIVERA, YARITZA M.</t>
  </si>
  <si>
    <t>2019-000506</t>
  </si>
  <si>
    <t>PEREZ GONZALEZ, CARMEN</t>
  </si>
  <si>
    <t>2020-000064</t>
  </si>
  <si>
    <t>RIVERA BOSQUES, MAGDALENA</t>
  </si>
  <si>
    <t>2019-000176</t>
  </si>
  <si>
    <t>LAZZU MARRERO, JOSE M.</t>
  </si>
  <si>
    <t>2019-000324</t>
  </si>
  <si>
    <t>MIRANDA RIVERA, LUIS O.</t>
  </si>
  <si>
    <t>FIE-2018-2019-IIP-0015</t>
  </si>
  <si>
    <t>2019-000491</t>
  </si>
  <si>
    <t>JUAN R. SILVA VAZQUEZ</t>
  </si>
  <si>
    <t>2019-000507</t>
  </si>
  <si>
    <t>2019-000502</t>
  </si>
  <si>
    <t>2019-000492</t>
  </si>
  <si>
    <t>2019-000508</t>
  </si>
  <si>
    <t>2020-000014</t>
  </si>
  <si>
    <t>ROYAL CLUB CONVENTION CENTER</t>
  </si>
  <si>
    <t>FIE-2018-2019-IIP-0016</t>
  </si>
  <si>
    <t>2019-000497</t>
  </si>
  <si>
    <t>CIRACET, CORP</t>
  </si>
  <si>
    <t>2019-000228</t>
  </si>
  <si>
    <t>2019-000451</t>
  </si>
  <si>
    <t>2019-000459</t>
  </si>
  <si>
    <t>2019-000488</t>
  </si>
  <si>
    <t>2019-000489</t>
  </si>
  <si>
    <t>2019-000498</t>
  </si>
  <si>
    <t>2019-000499</t>
  </si>
  <si>
    <t>ENERGY SOLAR PRODUCTS, INC.</t>
  </si>
  <si>
    <t>2019-000504</t>
  </si>
  <si>
    <t>FIE-2018-2019-IIP-0017</t>
  </si>
  <si>
    <t xml:space="preserve">BIO COLLECT COOKING OIL CORP. </t>
  </si>
  <si>
    <t>FIE-2018-2019-IIP-0018</t>
  </si>
  <si>
    <t>2019-000164</t>
  </si>
  <si>
    <t>GFREE FOODS, LLC</t>
  </si>
  <si>
    <t>FIE-2018-2019-IIP-0019</t>
  </si>
  <si>
    <t>2019-000163</t>
  </si>
  <si>
    <t>FIE-2018-2019-IIP-0020</t>
  </si>
  <si>
    <t>ANA PÉREZ INC.</t>
  </si>
  <si>
    <t>FIE-2018-2019-IIP-0021</t>
  </si>
  <si>
    <t>FIE-2018-2019-IIP-0022</t>
  </si>
  <si>
    <t>2020-000201</t>
  </si>
  <si>
    <t>AFA PLASTICS CORP.</t>
  </si>
  <si>
    <t>FIE-2018-2019-IIP-0023</t>
  </si>
  <si>
    <t>2020-000251</t>
  </si>
  <si>
    <t>LABCHEMS CORP.</t>
  </si>
  <si>
    <t>FIE-2018-2019-IIP-0024</t>
  </si>
  <si>
    <t>2020-000250</t>
  </si>
  <si>
    <t>FIE-2018-2019-IIP-0025</t>
  </si>
  <si>
    <t>2019-000340-A</t>
  </si>
  <si>
    <t>AG GROUP, INC.</t>
  </si>
  <si>
    <t>FIE-2018-2019-IIP-0026</t>
  </si>
  <si>
    <t>2019-000342-A</t>
  </si>
  <si>
    <t>FIE-2018-2019-IIP-0027</t>
  </si>
  <si>
    <t>2019-000341-A</t>
  </si>
  <si>
    <t>FIE-2018-2019-IIP-0029</t>
  </si>
  <si>
    <t>2019-000387</t>
  </si>
  <si>
    <t>FIE-2018-2019-IIP-0030</t>
  </si>
  <si>
    <t>2021-000006</t>
  </si>
  <si>
    <t>OUTCOME PROJECT, LLC</t>
  </si>
  <si>
    <t>2019-000255-B</t>
  </si>
  <si>
    <t>GUAWA, LLC</t>
  </si>
  <si>
    <t>2020-000231</t>
  </si>
  <si>
    <t>PILOTO 151, LLC</t>
  </si>
  <si>
    <t>2020-000306</t>
  </si>
  <si>
    <t>INTEX SOFTWARE, LLC</t>
  </si>
  <si>
    <t>2020-000442</t>
  </si>
  <si>
    <t>ODFLEX, LLC</t>
  </si>
  <si>
    <t>2019-000320</t>
  </si>
  <si>
    <t>NTS PR, LLC</t>
  </si>
  <si>
    <t>2019-000328</t>
  </si>
  <si>
    <t>CUTTING EDGE SUPERCONDUCTORS, INC.</t>
  </si>
  <si>
    <t>2019-000356-A</t>
  </si>
  <si>
    <t>GUARDDV, INC.</t>
  </si>
  <si>
    <t>2019-000412-A</t>
  </si>
  <si>
    <t>QUALTICS, LLC</t>
  </si>
  <si>
    <t>2019-000481</t>
  </si>
  <si>
    <t>ABARTYS HEALTH, LLC</t>
  </si>
  <si>
    <t>2020-000061</t>
  </si>
  <si>
    <t>GO SOCIAL GROUP LLC</t>
  </si>
  <si>
    <t>2020-000092</t>
  </si>
  <si>
    <t>INNOVACREATE LLC</t>
  </si>
  <si>
    <t>2020-000232</t>
  </si>
  <si>
    <t>ZOMIO, INC.</t>
  </si>
  <si>
    <t>2020-000233</t>
  </si>
  <si>
    <t>UVA GROUP, LLC</t>
  </si>
  <si>
    <t>2020-000242</t>
  </si>
  <si>
    <t>BRAINHI, INC.</t>
  </si>
  <si>
    <t>2020-000382</t>
  </si>
  <si>
    <t>SAFETYLINKED, INC,</t>
  </si>
  <si>
    <t>2020-000424</t>
  </si>
  <si>
    <t>YCS PR CORP.</t>
  </si>
  <si>
    <t>2021-000054</t>
  </si>
  <si>
    <t>ASEGURATEC, LLC</t>
  </si>
  <si>
    <t>2021-000081</t>
  </si>
  <si>
    <t>KIWI FINANCIAL, LLC</t>
  </si>
  <si>
    <t>2019-000307-A</t>
  </si>
  <si>
    <t>IBS CARIBE, INC.</t>
  </si>
  <si>
    <t>2019-000263-A</t>
  </si>
  <si>
    <t>CLEANCULT, LLC</t>
  </si>
  <si>
    <t>2019-000319</t>
  </si>
  <si>
    <t xml:space="preserve">BETTER IDEAS, LLC </t>
  </si>
  <si>
    <t>2019-000329</t>
  </si>
  <si>
    <t xml:space="preserve">BIDEA, LLC </t>
  </si>
  <si>
    <t>2019-000372</t>
  </si>
  <si>
    <t>PRATIAN, LLC</t>
  </si>
  <si>
    <t>2020-000421</t>
  </si>
  <si>
    <t>CREATIVE STARTUPS LLC</t>
  </si>
  <si>
    <t>2019-000278-A</t>
  </si>
  <si>
    <t>TIX.BY LLC (DBA) TICKETERA</t>
  </si>
  <si>
    <t>2019-000262-A</t>
  </si>
  <si>
    <t>OMICS GLOBAL SOLUTIONS, INC</t>
  </si>
  <si>
    <t>2019-000236-A</t>
  </si>
  <si>
    <t>SECURE BATHTUB, INC.</t>
  </si>
  <si>
    <t>2019-000345</t>
  </si>
  <si>
    <t>MBQ PHARMA, INC.</t>
  </si>
  <si>
    <t>2019-000476</t>
  </si>
  <si>
    <t>SIL TECHNOLOGIES LLC</t>
  </si>
  <si>
    <t>FIE-2018-2019-IIP-0033</t>
  </si>
  <si>
    <t>2019-000304</t>
  </si>
  <si>
    <t>FIE-2018-2019-IIP-0035</t>
  </si>
  <si>
    <t>2019-000288</t>
  </si>
  <si>
    <t>FIE-2018-2019-IIP-0036</t>
  </si>
  <si>
    <t>2020-000311</t>
  </si>
  <si>
    <t>HACIENDA LOS AMIGOS CORPORATION</t>
  </si>
  <si>
    <t>2021-000136</t>
  </si>
  <si>
    <t>FINCA E HIDROPONICOS PRATTS LLC</t>
  </si>
  <si>
    <t>2021-000078</t>
  </si>
  <si>
    <t>JARDIN HACIENDA MONTECHIQUITO, INC.</t>
  </si>
  <si>
    <t>2020-000383</t>
  </si>
  <si>
    <t>EDGARDO RAMIREZ AGUAYO H/N/C</t>
  </si>
  <si>
    <t>2020-000355</t>
  </si>
  <si>
    <t>FRUTOS LA  RUAH, INC.</t>
  </si>
  <si>
    <t>2020-000360</t>
  </si>
  <si>
    <t>JUAN JOSE CARTAGENA H/N/C</t>
  </si>
  <si>
    <t>2020-000304</t>
  </si>
  <si>
    <t>MLN,LLC</t>
  </si>
  <si>
    <t>2021-000142</t>
  </si>
  <si>
    <t xml:space="preserve">JOSE LUIS JIMENEZ H/N/C </t>
  </si>
  <si>
    <t>2021-000076</t>
  </si>
  <si>
    <t>HACIENDA JUJEMI, INC.</t>
  </si>
  <si>
    <t>2020-000322</t>
  </si>
  <si>
    <t>LA HACIENDA CITRUS, INC.</t>
  </si>
  <si>
    <t>2021-000041</t>
  </si>
  <si>
    <t>LUIS A. CURBELO SANTIAGO</t>
  </si>
  <si>
    <t>2020-000434</t>
  </si>
  <si>
    <t xml:space="preserve">HACIENDA TIERRA ALTA, INC. </t>
  </si>
  <si>
    <t>2020-000366</t>
  </si>
  <si>
    <t>2020-000314</t>
  </si>
  <si>
    <t xml:space="preserve">ANGEL REYES SERRANO H/N/C </t>
  </si>
  <si>
    <t>2021-000024</t>
  </si>
  <si>
    <t>HACIENDA VALENCIA, INC.</t>
  </si>
  <si>
    <t>2020-000326</t>
  </si>
  <si>
    <t>DR. AGROEMPRESAS, INC.</t>
  </si>
  <si>
    <t>2020-000367</t>
  </si>
  <si>
    <t>FINCA ROSADO, INC.</t>
  </si>
  <si>
    <t>2021-000002</t>
  </si>
  <si>
    <t>CORDEX AGRO, LLC</t>
  </si>
  <si>
    <t>2021-000015</t>
  </si>
  <si>
    <t>CESAR A. OLIVER CANABAL, INC</t>
  </si>
  <si>
    <t>2020-000377</t>
  </si>
  <si>
    <t>FINCA DOS RIOS, INC.</t>
  </si>
  <si>
    <t>2020-000327</t>
  </si>
  <si>
    <t>HECTOR SEDA H/N/C FINCA H.SEDA</t>
  </si>
  <si>
    <t>2021-000048</t>
  </si>
  <si>
    <t>JUAN ROBLES NIEVES</t>
  </si>
  <si>
    <t>2020-000435</t>
  </si>
  <si>
    <t>F&amp;F HYDROPONICS LLC</t>
  </si>
  <si>
    <t>2020-000310</t>
  </si>
  <si>
    <t>FAMILY FARM AQUAPONICS, INC.</t>
  </si>
  <si>
    <t>2020-000401</t>
  </si>
  <si>
    <t>HORTALIZAS HIDROPONICAS DEL OESTE, INC.</t>
  </si>
  <si>
    <t>2021-000098</t>
  </si>
  <si>
    <t>HUERTO ISLENO, INC.</t>
  </si>
  <si>
    <t>2020-000426</t>
  </si>
  <si>
    <t>AGRO EMPRESAS BLACK BELT CORP.</t>
  </si>
  <si>
    <t>2021-000121</t>
  </si>
  <si>
    <t>HIDROPONICOS DEL PAIS, INC.</t>
  </si>
  <si>
    <t>2020-000282</t>
  </si>
  <si>
    <t>GROWPONICS-PR LLC</t>
  </si>
  <si>
    <t>2020-000318</t>
  </si>
  <si>
    <t>FUSION PROPERTIES MANAGEMENT GROUP, INC.</t>
  </si>
  <si>
    <t>2021-000018</t>
  </si>
  <si>
    <t>DASALY INCORPORADO</t>
  </si>
  <si>
    <t>2020-000363</t>
  </si>
  <si>
    <t>AGROPRODUCTOS DEL TURABO, CRL</t>
  </si>
  <si>
    <t>2021-000014</t>
  </si>
  <si>
    <t>LOURDES PEREZ RUIZ, INC.</t>
  </si>
  <si>
    <t>2020-000321</t>
  </si>
  <si>
    <t>FARM IN THE CITY</t>
  </si>
  <si>
    <t>2020-000432</t>
  </si>
  <si>
    <t xml:space="preserve">PRODUCTOS CARTINAMI, INC. </t>
  </si>
  <si>
    <t>2021-000023</t>
  </si>
  <si>
    <t>HIDROCULTIVOS CAROLINENSES, INC.</t>
  </si>
  <si>
    <t>FIE-2018-2019-IIP-0038</t>
  </si>
  <si>
    <t>2020-000096</t>
  </si>
  <si>
    <t>FIE-2018-2019-IIP-0039</t>
  </si>
  <si>
    <t>ERASMO RAMOS INC.</t>
  </si>
  <si>
    <t>FIE-2018-2019-IIP-0040</t>
  </si>
  <si>
    <t>2019-000357</t>
  </si>
  <si>
    <t>FIE-2018-2019-IIP-0042</t>
  </si>
  <si>
    <t>FIE-2018-2019-IIP-0047</t>
  </si>
  <si>
    <t>2019-000475</t>
  </si>
  <si>
    <t>AC CULINARY GROUP LLC</t>
  </si>
  <si>
    <t>FIE-2018-2019-IIP-0048</t>
  </si>
  <si>
    <t>2019-000403</t>
  </si>
  <si>
    <t>BALDACCI COFFEE ROASTERS, LLC</t>
  </si>
  <si>
    <t>FIE-2018-2019-IIP-0049</t>
  </si>
  <si>
    <t>ALCOR FOODS, INC.</t>
  </si>
  <si>
    <t>FIE-2018-2019-IIP-0050</t>
  </si>
  <si>
    <t>FIE-2018-2019-IIP-0052</t>
  </si>
  <si>
    <t>2019-000449</t>
  </si>
  <si>
    <t>FIE-2018-2019-IIP-0053</t>
  </si>
  <si>
    <t>FIE-2018-2019-IIP-0054</t>
  </si>
  <si>
    <t>2019-000495</t>
  </si>
  <si>
    <t>INSIGHT MANAGING SOLUTIONS CORP.</t>
  </si>
  <si>
    <t>FIE-2018-2019-IIP-0071</t>
  </si>
  <si>
    <t>2020-000090</t>
  </si>
  <si>
    <t>NISSI LLC</t>
  </si>
  <si>
    <t>FIE-2018-2019-IIP-0072</t>
  </si>
  <si>
    <t>2020-000091</t>
  </si>
  <si>
    <t>FIE-2018-2019-IIP-0074</t>
  </si>
  <si>
    <t>2020-000063</t>
  </si>
  <si>
    <t>FIE-2018-2019-IIP-0081</t>
  </si>
  <si>
    <t>2020-000156</t>
  </si>
  <si>
    <t>FIE-2018-2019-IIP-0084</t>
  </si>
  <si>
    <t>2020-000165</t>
  </si>
  <si>
    <t>INDUSTRIAL STEEL MANUFACTURING LLC</t>
  </si>
  <si>
    <t>FIE-2018-2019-IIP-0085</t>
  </si>
  <si>
    <t>2020-000164</t>
  </si>
  <si>
    <t>FIE-2018-2019-IIP-0086</t>
  </si>
  <si>
    <t>2020-000033</t>
  </si>
  <si>
    <t>SOUTH CARIBBEAN FINANCIAL SERVICES CORP</t>
  </si>
  <si>
    <t>FIE-2018-2019-IIP-0087</t>
  </si>
  <si>
    <t>2020-000247</t>
  </si>
  <si>
    <t>LASER PRODUCTS, INC</t>
  </si>
  <si>
    <t>FIE-2018-2019-IIP-0088</t>
  </si>
  <si>
    <t>2020-000246</t>
  </si>
  <si>
    <t>FIE-2018-2019-IIP-0091</t>
  </si>
  <si>
    <t>SYNERLUTION, INC.</t>
  </si>
  <si>
    <t>FIE-2018-2019-IIP-0093</t>
  </si>
  <si>
    <t>MITEL DISTRIBUTING CORP. (MITEL)</t>
  </si>
  <si>
    <t>FIE-2018-2019-IIP-0094</t>
  </si>
  <si>
    <t>FIE-2018-2019-IIP-0095</t>
  </si>
  <si>
    <t>FIE-2019-2020-IEE-0040</t>
  </si>
  <si>
    <t>2019-000327-C</t>
  </si>
  <si>
    <t>FIE-2019-2020-IEE-0041</t>
  </si>
  <si>
    <t>2020-000005-C</t>
  </si>
  <si>
    <t>FIE-2019-2020-IEE-0042</t>
  </si>
  <si>
    <t>2019-000346-C</t>
  </si>
  <si>
    <t>FIE-2019-2020-IEE-0043</t>
  </si>
  <si>
    <t>2019-000414-B</t>
  </si>
  <si>
    <t>FIE-2019-2020-IEE-0044</t>
  </si>
  <si>
    <t>2019-000401-B</t>
  </si>
  <si>
    <t>FIE-2019-2020-IEE-0045</t>
  </si>
  <si>
    <t>2019-000353-C</t>
  </si>
  <si>
    <t>FIE-2019-2020-IEE-0046</t>
  </si>
  <si>
    <t>2019-000268-C</t>
  </si>
  <si>
    <t>FIE-2019-2020-IEE-0047</t>
  </si>
  <si>
    <t>2019-000268-B</t>
  </si>
  <si>
    <t>FIE-2019-2020-IEE-0048</t>
  </si>
  <si>
    <t>2019-000269-B</t>
  </si>
  <si>
    <t>FIE-2019-2020-IEE-0049</t>
  </si>
  <si>
    <t>2019-000252-C</t>
  </si>
  <si>
    <t>FIE-2019-2020-IEE-0058</t>
  </si>
  <si>
    <t>2020-000202</t>
  </si>
  <si>
    <t>FIE-2019-2020-IEE-0061</t>
  </si>
  <si>
    <t>FIE-2019-2020-IEE-0062</t>
  </si>
  <si>
    <t>FIE-2019-2020-IEE-0063</t>
  </si>
  <si>
    <t>FIE-2019-2020-IEE-0064</t>
  </si>
  <si>
    <t>2019-000269-C</t>
  </si>
  <si>
    <t>FIE-2019-2020-IEE-0065</t>
  </si>
  <si>
    <t>2019-000401-C</t>
  </si>
  <si>
    <t>FIE-2019-2020-IEE-0067</t>
  </si>
  <si>
    <t>2020-000270</t>
  </si>
  <si>
    <t>FIE-2019-2020-IEE-0068</t>
  </si>
  <si>
    <t>2020-000243</t>
  </si>
  <si>
    <t>FIE-2019-2020-IEE-0069</t>
  </si>
  <si>
    <t>2020-000244</t>
  </si>
  <si>
    <t>FIE-2019-2020-IEE-0070</t>
  </si>
  <si>
    <t>2019-000448-B</t>
  </si>
  <si>
    <t>FIE-2019-2020-IEE-0083</t>
  </si>
  <si>
    <t>2020-000013-B</t>
  </si>
  <si>
    <t>FIE-2019-2020-IEE-0084</t>
  </si>
  <si>
    <t>2019-000414-C</t>
  </si>
  <si>
    <t>FIE-2019-2020-IEE-0102</t>
  </si>
  <si>
    <t>2020-000339</t>
  </si>
  <si>
    <t>FIE-2019-2020-IEE-0103</t>
  </si>
  <si>
    <t>FIE-2019-2020-IEE-0104</t>
  </si>
  <si>
    <t>FIE-2019-2020-IEE-0105</t>
  </si>
  <si>
    <t>2020-000375</t>
  </si>
  <si>
    <t>FIE-2019-2020-IEE-0122</t>
  </si>
  <si>
    <t>2020-000444</t>
  </si>
  <si>
    <t>FIE-2019-2020-IEE-0123</t>
  </si>
  <si>
    <t>2020-000444-A</t>
  </si>
  <si>
    <t>FIE-2019-2020-IEE-0124</t>
  </si>
  <si>
    <t>2020-000244-A</t>
  </si>
  <si>
    <t>FIE-2019-2020-IEE-0125</t>
  </si>
  <si>
    <t>FIE-2019-2020-IEE-0126</t>
  </si>
  <si>
    <t>2020-000243-A</t>
  </si>
  <si>
    <t>FIE-2019-2020-IEE-0128</t>
  </si>
  <si>
    <t>2021-000005</t>
  </si>
  <si>
    <t>FIE-2019-2020-IEE-0129</t>
  </si>
  <si>
    <t>2021-000001-A</t>
  </si>
  <si>
    <t>FIE-2019-2020-IEE-0130</t>
  </si>
  <si>
    <t>2021-000001</t>
  </si>
  <si>
    <t>FIE-2019-2020-IEE-0131</t>
  </si>
  <si>
    <t>2020-000339-A</t>
  </si>
  <si>
    <t>FIE-2019-2020-IEE-0132</t>
  </si>
  <si>
    <t>2021-000020</t>
  </si>
  <si>
    <t>FIE-2019-2020-IEE-0133</t>
  </si>
  <si>
    <t>2020-000270-B</t>
  </si>
  <si>
    <t>FIE-2019-2020-IEE-0134</t>
  </si>
  <si>
    <t>2021-000020-A</t>
  </si>
  <si>
    <t>FIE-2019-2020-IEE-0135</t>
  </si>
  <si>
    <t>2020-000270-A</t>
  </si>
  <si>
    <t>FIE-2019-2020-IEE-0136</t>
  </si>
  <si>
    <t>2020-000339-B</t>
  </si>
  <si>
    <t>FIE-2019-2020-IEE-0137</t>
  </si>
  <si>
    <t>FIE-2019-2020-IEE-0138</t>
  </si>
  <si>
    <t>2020-0000244-B</t>
  </si>
  <si>
    <t>2020-000244-B</t>
  </si>
  <si>
    <t>FIE-2019-2020-IEE-0139</t>
  </si>
  <si>
    <t>2021-000020-B</t>
  </si>
  <si>
    <t>FIE-2019-2020-IEE-0140</t>
  </si>
  <si>
    <t>2020-000444-B</t>
  </si>
  <si>
    <t>FIE-2019-2020-IEE-0141</t>
  </si>
  <si>
    <t>2021-000005-A</t>
  </si>
  <si>
    <t>FIE-2019-2020-IEE-0142</t>
  </si>
  <si>
    <t>2021-000005-B</t>
  </si>
  <si>
    <t>FIE-2019-2020-IIE-0037</t>
  </si>
  <si>
    <t>2020-000296</t>
  </si>
  <si>
    <t>ROOF MAX TECHNOLOGIES, LLC</t>
  </si>
  <si>
    <t>FIE-2019-2020-IIE-0038</t>
  </si>
  <si>
    <t>2020-000297</t>
  </si>
  <si>
    <t>FIE-2019-2020-IIE-0039</t>
  </si>
  <si>
    <t>2020-000298</t>
  </si>
  <si>
    <t>FIE-2019-2020-IIE-0110</t>
  </si>
  <si>
    <t>2020-000445</t>
  </si>
  <si>
    <t>FIE-2019-2020-IIE-0111</t>
  </si>
  <si>
    <t>2020-000446</t>
  </si>
  <si>
    <t>FIE-2019-2020-IIE-0127</t>
  </si>
  <si>
    <t>ORTHO-TAIN</t>
  </si>
  <si>
    <t>FIE-2019-2020-IIP-0001</t>
  </si>
  <si>
    <t>FIE-2019-2020-IIP-0002</t>
  </si>
  <si>
    <t>FIE-2019-2020-IIP-0003</t>
  </si>
  <si>
    <t>ICB MANUFACTURING CO.</t>
  </si>
  <si>
    <t>FIE-2019-2020-IIP-0004</t>
  </si>
  <si>
    <t>FIE-2019-2020-IIP-0005</t>
  </si>
  <si>
    <t>2020-000305</t>
  </si>
  <si>
    <t>ECB PONCE CORP.</t>
  </si>
  <si>
    <t>FIE-2019-2020-IIP-0006</t>
  </si>
  <si>
    <t>VIRUTA GROUP, INC.</t>
  </si>
  <si>
    <t>FIE-2019-2020-IIP-0007</t>
  </si>
  <si>
    <t>FIE-2019-2020-IIP-0008</t>
  </si>
  <si>
    <t>2020-000212</t>
  </si>
  <si>
    <t>DYAD, LLC</t>
  </si>
  <si>
    <t>FIE-2019-2020-IIP-0009</t>
  </si>
  <si>
    <t>2020-000213</t>
  </si>
  <si>
    <t>FIE-2019-2020-IIP-0010</t>
  </si>
  <si>
    <t>FIE-2019-2020-IIP-0011</t>
  </si>
  <si>
    <t>FIE-2019-2020-IIP-0012</t>
  </si>
  <si>
    <t>2020-000214</t>
  </si>
  <si>
    <t>MIRAMAR SERVICES, LLC</t>
  </si>
  <si>
    <t>FIE-2019-2020-IIP-0013</t>
  </si>
  <si>
    <t>2020-000215</t>
  </si>
  <si>
    <t>FIE-2019-2020-IIP-0014</t>
  </si>
  <si>
    <t>SPVC LUXURY KITCHENS, LLC</t>
  </si>
  <si>
    <t>FIE-2019-2020-IIP-0015</t>
  </si>
  <si>
    <t>FIE-2019-2020-IIP-0017</t>
  </si>
  <si>
    <t>2020-000350</t>
  </si>
  <si>
    <t>FIE-2019-2020-IIP-0018</t>
  </si>
  <si>
    <t>2020-000356</t>
  </si>
  <si>
    <t>FIE-2019-2020-IIP-0019</t>
  </si>
  <si>
    <t>DORADO STEEL MANUFACTURING LLC</t>
  </si>
  <si>
    <t>FIE-2019-2020-IIP-0020</t>
  </si>
  <si>
    <t>FIE-2019-2020-IIP-0027</t>
  </si>
  <si>
    <t>FIE-2019-2020-IIP-0028</t>
  </si>
  <si>
    <t>2020-000329</t>
  </si>
  <si>
    <t>FIE-2019-2020-IIP-0029</t>
  </si>
  <si>
    <t>2020-000328</t>
  </si>
  <si>
    <t>FIE-2019-2020-IIP-0030</t>
  </si>
  <si>
    <t>2020-000245</t>
  </si>
  <si>
    <t>PAPA PEDRO, INC.</t>
  </si>
  <si>
    <t>FIE-2019-2020-IIP-0031</t>
  </si>
  <si>
    <t>WAVE RANCH, INC.</t>
  </si>
  <si>
    <t>FIE-2019-2020-IIP-0032</t>
  </si>
  <si>
    <t>FIE-2019-2020-IIP-0033</t>
  </si>
  <si>
    <t>FIE-2019-2020-IIP-0035</t>
  </si>
  <si>
    <t>2020-000330</t>
  </si>
  <si>
    <t>LA CEIBA CORP.</t>
  </si>
  <si>
    <t>FIE-2019-2020-IIP-0036</t>
  </si>
  <si>
    <t>2020-000235</t>
  </si>
  <si>
    <t>CRIOLITE CORP.</t>
  </si>
  <si>
    <t>FIE-2019-2020-IIP-0050</t>
  </si>
  <si>
    <t>2020-000459</t>
  </si>
  <si>
    <t>MERAKI PAPER &amp; PLASTIC MFG LLC</t>
  </si>
  <si>
    <t>FIE-2019-2020-IIP-0051</t>
  </si>
  <si>
    <t>2020-000429</t>
  </si>
  <si>
    <t>FIE-2019-2020-IIP-0052</t>
  </si>
  <si>
    <t>2020-000354</t>
  </si>
  <si>
    <t>SJT PRECISION METAL, INC.</t>
  </si>
  <si>
    <t>FIE-2019-2020-IIP-0053</t>
  </si>
  <si>
    <t>FIE-2019-2020-IIP-0054</t>
  </si>
  <si>
    <t>FIE-2019-2020-IIP-0055</t>
  </si>
  <si>
    <t>FIE-2019-2020-IIP-0056</t>
  </si>
  <si>
    <t>2020-000353</t>
  </si>
  <si>
    <t>AGGREGATE, INC.</t>
  </si>
  <si>
    <t>FIE-2019-2020-IIP-0057</t>
  </si>
  <si>
    <t>2020-000358</t>
  </si>
  <si>
    <t>FIE-2019-2020-IIP-0059</t>
  </si>
  <si>
    <t>2020-000332</t>
  </si>
  <si>
    <t>FIE-2019-2020-IIP-0060</t>
  </si>
  <si>
    <t>FIE-2019-2020-IIP-0066</t>
  </si>
  <si>
    <t>2020-000234</t>
  </si>
  <si>
    <t>FIE-2019-2020-IIP-0072</t>
  </si>
  <si>
    <t>2020-000361</t>
  </si>
  <si>
    <t>FIE-2019-2020-IIP-0073</t>
  </si>
  <si>
    <t>2020-000450</t>
  </si>
  <si>
    <t>KEFRUITS LLC</t>
  </si>
  <si>
    <t>FIE-2019-2020-IIP-0074</t>
  </si>
  <si>
    <t>2020-000451</t>
  </si>
  <si>
    <t>FIE-2019-2020-IIP-0075</t>
  </si>
  <si>
    <t>2020-000440</t>
  </si>
  <si>
    <t>J &amp; G MANAGEMENT CORPORATION</t>
  </si>
  <si>
    <t>FIE-2019-2020-IIP-0076</t>
  </si>
  <si>
    <t>EVOLUZIONE GROUP, LLC</t>
  </si>
  <si>
    <t>FIE-2019-2020-IIP-0077</t>
  </si>
  <si>
    <t>E PRINTING SHOP LLC</t>
  </si>
  <si>
    <t>FIE-2019-2020-IIP-0078</t>
  </si>
  <si>
    <t>FIE-2019-2020-IIP-0079</t>
  </si>
  <si>
    <t>2020-000364</t>
  </si>
  <si>
    <t>EMPRESAS ORTIZ BRUNET, INC.</t>
  </si>
  <si>
    <t>FIE-2019-2020-IIP-0080</t>
  </si>
  <si>
    <t>2020-000365</t>
  </si>
  <si>
    <t>FIE-2019-2020-IIP-0081</t>
  </si>
  <si>
    <t>2020-000312</t>
  </si>
  <si>
    <t>LABORATORIO CLANDESTINO VIEQUENSE, INC.</t>
  </si>
  <si>
    <t>FIE-2019-2020-IIP-0082</t>
  </si>
  <si>
    <t>2020-000313</t>
  </si>
  <si>
    <t>FIE-2019-2020-IIP-0085</t>
  </si>
  <si>
    <t>MDF INSTRUMENTS CRAFTECH LLC</t>
  </si>
  <si>
    <t>FIE-2019-2020-IIP-0086</t>
  </si>
  <si>
    <t>FIE-2019-2020-IIP-0087</t>
  </si>
  <si>
    <t>2021-000134</t>
  </si>
  <si>
    <t>AMASAR LLC</t>
  </si>
  <si>
    <t>FIE-2019-2020-IIP-0088</t>
  </si>
  <si>
    <t>AMASAR,LLC</t>
  </si>
  <si>
    <t>FIE-2019-2020-IIP-0089</t>
  </si>
  <si>
    <t>GLOBAL MANUFACTURER PRODUCTS CORPORATION</t>
  </si>
  <si>
    <t>FIE-2019-2020-IIP-0090</t>
  </si>
  <si>
    <t>FIE-2019-2020-IIP-0091</t>
  </si>
  <si>
    <t>2020-000438</t>
  </si>
  <si>
    <t>JAM PRINTING, LLC</t>
  </si>
  <si>
    <t>FIE-2019-2020-IIP-0092</t>
  </si>
  <si>
    <t>2020-000439</t>
  </si>
  <si>
    <t>FIE-2019-2020-IIP-0093</t>
  </si>
  <si>
    <t>CIDRA MANUFACTURING, INC.</t>
  </si>
  <si>
    <t>FIE-2019-2020-IIP-0094</t>
  </si>
  <si>
    <t>FIE-2019-2020-IIP-0095</t>
  </si>
  <si>
    <t>2020-000352</t>
  </si>
  <si>
    <t>FIE-2019-2020-IIP-0096</t>
  </si>
  <si>
    <t>GA SALES CORP.</t>
  </si>
  <si>
    <t>FIE-2019-2020-IIP-0099</t>
  </si>
  <si>
    <t>2020-000427</t>
  </si>
  <si>
    <t xml:space="preserve">N &amp; D PRODUCTS LLC </t>
  </si>
  <si>
    <t>FIE-2019-2020-IIP-0100</t>
  </si>
  <si>
    <t>PRODUCTOS CHEBO’S, INC.</t>
  </si>
  <si>
    <t>FIE-2019-2020-IIP-0101</t>
  </si>
  <si>
    <t>FIE-2019-2020-IIP-0106</t>
  </si>
  <si>
    <t>FIE-2019-2020-IIP-0107</t>
  </si>
  <si>
    <t>FIE-2019-2020-IIP-0108</t>
  </si>
  <si>
    <t>EL BORICUA , INC.</t>
  </si>
  <si>
    <t>FIE-2019-2020-IIP-0109</t>
  </si>
  <si>
    <t>FIE-2019-2020-IIP-0112</t>
  </si>
  <si>
    <t>EMPRESAS CARIBE SUPPLIERS, LLC</t>
  </si>
  <si>
    <t>FIE-2019-2020-IIP-0113</t>
  </si>
  <si>
    <t>2020-000447</t>
  </si>
  <si>
    <t>FIE-2019-2020-IIP-0114</t>
  </si>
  <si>
    <t>2020-000448</t>
  </si>
  <si>
    <t>FIE-2019-2020-IIP-0115</t>
  </si>
  <si>
    <t>2020-000449</t>
  </si>
  <si>
    <t>FIE-2019-2020-IIP-0116</t>
  </si>
  <si>
    <t>2021-000019</t>
  </si>
  <si>
    <t xml:space="preserve">PITA MAKER, INC. </t>
  </si>
  <si>
    <t>FIE-2019-2020-IIP-0117</t>
  </si>
  <si>
    <t>FIE-2019-2020-IIP-0118</t>
  </si>
  <si>
    <t>YEMI,LLC</t>
  </si>
  <si>
    <t>FIE-2019-2020-IIP-0119</t>
  </si>
  <si>
    <t>FIE-2019-2020-IIP-0120</t>
  </si>
  <si>
    <t>2020-000452</t>
  </si>
  <si>
    <t>FIE-2019-2020-IIP-0121</t>
  </si>
  <si>
    <t>2021-000013</t>
  </si>
  <si>
    <t>FIE-2020-2021-IEE-0001</t>
  </si>
  <si>
    <t>FIE60-2019-2020-0001</t>
  </si>
  <si>
    <t>2020-001077</t>
  </si>
  <si>
    <t>INCENT LEY 60</t>
  </si>
  <si>
    <t>FIE60-2020-2021-0001</t>
  </si>
  <si>
    <t>2021-000040</t>
  </si>
  <si>
    <t>FIE60-2020-2021-0002</t>
  </si>
  <si>
    <t>AEROSPACEFY LLC</t>
  </si>
  <si>
    <t>FIE60-2020-2021-0003</t>
  </si>
  <si>
    <t>FIE60-2020-2021-0004</t>
  </si>
  <si>
    <t>2021-000067</t>
  </si>
  <si>
    <t>CAFE ORO DE PUERTO RICO, INC.</t>
  </si>
  <si>
    <t>FIE60-2020-2021-0005</t>
  </si>
  <si>
    <t>2021-000066</t>
  </si>
  <si>
    <t>FIE60-2020-2021-0006</t>
  </si>
  <si>
    <t>IFCO RECYCLING, INC.</t>
  </si>
  <si>
    <t>FIE60-2020-2021-0007</t>
  </si>
  <si>
    <t>NEOLPHARMA, INC.</t>
  </si>
  <si>
    <t>FIE60-2020-2021-0008</t>
  </si>
  <si>
    <t>FIE60-2020-2021-0009</t>
  </si>
  <si>
    <t>2021-000045</t>
  </si>
  <si>
    <t>FIE60-2020-2021-0010</t>
  </si>
  <si>
    <t>2021-000044</t>
  </si>
  <si>
    <t>FIE60-2020-2021-0011</t>
  </si>
  <si>
    <t>2021-000113</t>
  </si>
  <si>
    <t>CHEMICAL SOLUTIONS, LLC</t>
  </si>
  <si>
    <t>FIE60-2020-2021-0012</t>
  </si>
  <si>
    <t>FIE60-2020-2021-0013</t>
  </si>
  <si>
    <t>CREDIT RX LLC</t>
  </si>
  <si>
    <t>FIE60-2020-2021-0014</t>
  </si>
  <si>
    <t>FIE60-2020-2021-0015</t>
  </si>
  <si>
    <t>LORMAR OPTICAL DISTRIBUTORS, INC.</t>
  </si>
  <si>
    <t>FIE60-2020-2021-0016</t>
  </si>
  <si>
    <t>FIE60-2020-2021-0017</t>
  </si>
  <si>
    <t>PARGUERA BREWING CO. LLC</t>
  </si>
  <si>
    <t>FIE60-2020-2021-0018</t>
  </si>
  <si>
    <t>FIE60-2020-2021-0019</t>
  </si>
  <si>
    <t>2021-000097</t>
  </si>
  <si>
    <t>PRODUCTOS LA FINCA, INC.,</t>
  </si>
  <si>
    <t>FIE60-2020-2021-0020</t>
  </si>
  <si>
    <t>2021-000118</t>
  </si>
  <si>
    <t>PF CONSUMER HEALTHCARE B.V.</t>
  </si>
  <si>
    <t>FIE60-2020-2021-0021</t>
  </si>
  <si>
    <t>2021-000117</t>
  </si>
  <si>
    <t>FIE60-2020-2021-0022</t>
  </si>
  <si>
    <t>2021-000119</t>
  </si>
  <si>
    <t>FIE60-2020-2021-0023</t>
  </si>
  <si>
    <t>NEW ERA COMPOUNDING LLC</t>
  </si>
  <si>
    <t>FIE60-2020-2021-0024</t>
  </si>
  <si>
    <t>FIE60-2020-2021-0025</t>
  </si>
  <si>
    <t>FIE60-2020-2021-0026</t>
  </si>
  <si>
    <t>RINCON BEER COMPANY</t>
  </si>
  <si>
    <t>FIE60-2020-2021-0027</t>
  </si>
  <si>
    <t>FIE60-2020-2021-0028</t>
  </si>
  <si>
    <t>STERI-TECH, INC.</t>
  </si>
  <si>
    <t>FIE60-2020-2021-0029</t>
  </si>
  <si>
    <t>FIE60-2020-2021-0030</t>
  </si>
  <si>
    <t>FIE60-2020-2021-0031</t>
  </si>
  <si>
    <t>2021-000106</t>
  </si>
  <si>
    <t xml:space="preserve">ASPEN SURGICAL PUERTO RICO CORP. </t>
  </si>
  <si>
    <t>FIE60-2020-2021-0032</t>
  </si>
  <si>
    <t>2021-000107</t>
  </si>
  <si>
    <t>FIE60-2020-2021-0033</t>
  </si>
  <si>
    <t>COOLING SYSTEMS CARIBE, INC.</t>
  </si>
  <si>
    <t>FIE60-2020-2021-0034</t>
  </si>
  <si>
    <t>FIE60-2020-2021-0035</t>
  </si>
  <si>
    <t>MCNEIL CONSUMER HEALTHCARE, INC.</t>
  </si>
  <si>
    <t>FIE60-2020-2021-0036</t>
  </si>
  <si>
    <t>2021-000127</t>
  </si>
  <si>
    <t>PEPSI-COLA PUERTO RICO DISTRIBUTING LLC</t>
  </si>
  <si>
    <t>FIE60-2020-2021-0037</t>
  </si>
  <si>
    <t>2021-000128</t>
  </si>
  <si>
    <t>FIE60-2020-2021-0038</t>
  </si>
  <si>
    <t>FIE60-2020-2021-0039</t>
  </si>
  <si>
    <t>FIE60-2020-2021-0040</t>
  </si>
  <si>
    <t>DELTA HEALTH LLC.</t>
  </si>
  <si>
    <t>FIE60-2020-2021-0041</t>
  </si>
  <si>
    <t>FIE60-2020-2021-0042</t>
  </si>
  <si>
    <t>FIE60-2020-2021-0043</t>
  </si>
  <si>
    <t>FIE60-2020-2021-0044</t>
  </si>
  <si>
    <t>FIE60-2020-2021-0045</t>
  </si>
  <si>
    <t>RC MANUFACTURING, LLC</t>
  </si>
  <si>
    <t>FIE60-2020-2021-0046</t>
  </si>
  <si>
    <t>FIE60-2020-2021-0047</t>
  </si>
  <si>
    <t>FIE60-2020-2021-0048</t>
  </si>
  <si>
    <t>FIE60-2020-2021-0049</t>
  </si>
  <si>
    <t>FIE60-2020-2021-0050</t>
  </si>
  <si>
    <t>HOUSE OF HAIRLE, INC.</t>
  </si>
  <si>
    <t>FIE60-2020-2021-0051</t>
  </si>
  <si>
    <t>FIE60-2020-2021-0052</t>
  </si>
  <si>
    <t>FIE60-2020-2021-0053</t>
  </si>
  <si>
    <t>FIE60-2020-2021-0054</t>
  </si>
  <si>
    <t>FIE60-2020-2021-0055</t>
  </si>
  <si>
    <t>FIE60-2020-2021-0056</t>
  </si>
  <si>
    <t>FIE60-2020-2021-0057</t>
  </si>
  <si>
    <t>FIE60-2020-2021-0058</t>
  </si>
  <si>
    <t>FIE60-2020-2021-0059</t>
  </si>
  <si>
    <t>FIE60-2020-2021-0060</t>
  </si>
  <si>
    <t>FIE60-2020-2021-0061</t>
  </si>
  <si>
    <t>FIE60-2020-2021-0062</t>
  </si>
  <si>
    <t>B.B. BEDDING, INC.</t>
  </si>
  <si>
    <t>FIE60-2020-2021-0063</t>
  </si>
  <si>
    <t>FIE60-2020-2021-0064</t>
  </si>
  <si>
    <t>FIE60-2020-2021-0065</t>
  </si>
  <si>
    <t>FIE60-2020-2021-0066</t>
  </si>
  <si>
    <t>FIE60-2020-2021-0067</t>
  </si>
  <si>
    <t>EMPRESAS BORIQUÉ, INC.</t>
  </si>
  <si>
    <t>FIE60-2020-2021-0068</t>
  </si>
  <si>
    <t>FIE60-2020-2021-0069</t>
  </si>
  <si>
    <t>FIE60-2020-2021-0070</t>
  </si>
  <si>
    <t>BEST SEASONING GROUP, INC.</t>
  </si>
  <si>
    <t>FIE60-2020-2021-0071</t>
  </si>
  <si>
    <t>C3 MARKETING LLC</t>
  </si>
  <si>
    <t>FIE60-2020-2021-0072</t>
  </si>
  <si>
    <t>FIE60-2020-2021-0073</t>
  </si>
  <si>
    <t>COMPUTER DISTRIBUTORS INC. (CDI)</t>
  </si>
  <si>
    <t>FIE60-2020-2021-0074</t>
  </si>
  <si>
    <t>FIE60-2020-2021-0075</t>
  </si>
  <si>
    <t>CORPORACION COMUNITARIA RECICLAJE DEL NORTE, INC. P.T.</t>
  </si>
  <si>
    <t>FIE60-2020-2021-0076</t>
  </si>
  <si>
    <t>FIE60-2020-2021-0077</t>
  </si>
  <si>
    <t>GANADEROS BORGES, INC.</t>
  </si>
  <si>
    <t>FIE60-2020-2021-0078</t>
  </si>
  <si>
    <t>FIE60-2020-2021-0079</t>
  </si>
  <si>
    <t>JIRA MANUFACTURING &amp; DISTRIBUTORS LLC</t>
  </si>
  <si>
    <t>FIE60-2020-2021-0080</t>
  </si>
  <si>
    <t>LAB INFO, LLC</t>
  </si>
  <si>
    <t>FIE60-2020-2021-0081</t>
  </si>
  <si>
    <t>FIE60-2020-2021-0082</t>
  </si>
  <si>
    <t>LUIS E. ALCOVER H/N/C CAFÉ LAREÑO</t>
  </si>
  <si>
    <t>FIE60-2020-2021-0083</t>
  </si>
  <si>
    <t>FIE60-2020-2021-0084</t>
  </si>
  <si>
    <t>AGUADILLA PIER CORP.</t>
  </si>
  <si>
    <t>FIE60-2020-2021-0085</t>
  </si>
  <si>
    <t>FIE60-2020-2021-0086</t>
  </si>
  <si>
    <t>FIE60-2020-2021-0087</t>
  </si>
  <si>
    <t>LUFTHANSA TECHNIK PUERTO RICO LLC</t>
  </si>
  <si>
    <t>FIE60-2020-2021-0088</t>
  </si>
  <si>
    <t>NEW ERA MANUFACTURING LLC</t>
  </si>
  <si>
    <t>FIE60-2020-2021-0089</t>
  </si>
  <si>
    <t>FIE60-2020-2021-0090</t>
  </si>
  <si>
    <t>FIE60-2020-2021-0091</t>
  </si>
  <si>
    <t>FIE60-2020-2021-0092</t>
  </si>
  <si>
    <t>TAS UNITED PUERTO RICO LLC</t>
  </si>
  <si>
    <t>FIE60-2020-2021-0093</t>
  </si>
  <si>
    <t>FIE60-2020-2021-0094</t>
  </si>
  <si>
    <t>CCM HEALTH LLC</t>
  </si>
  <si>
    <t>FIE60-2020-2021-0095</t>
  </si>
  <si>
    <t>FIE60-2020-2021-0096</t>
  </si>
  <si>
    <t>COMERCIAL TORO, INC D/B/A TOPES TORO (C0103)</t>
  </si>
  <si>
    <t>FIE60-2020-2021-0097</t>
  </si>
  <si>
    <t>HUMACAO</t>
  </si>
  <si>
    <t>DORADO</t>
  </si>
  <si>
    <t>CAYEY</t>
  </si>
  <si>
    <t>VEGA BAJA</t>
  </si>
  <si>
    <t>JUNCOS</t>
  </si>
  <si>
    <t>FAJARDO</t>
  </si>
  <si>
    <t>ARECIBO</t>
  </si>
  <si>
    <t>SAN JUAN</t>
  </si>
  <si>
    <t>SANTA ISABEL</t>
  </si>
  <si>
    <t>JAYUYA</t>
  </si>
  <si>
    <t>AGUADILLA</t>
  </si>
  <si>
    <t>CAGUAS</t>
  </si>
  <si>
    <t>TOA ALTA</t>
  </si>
  <si>
    <t>Productos derivados de cemento</t>
  </si>
  <si>
    <t>COROZAL</t>
  </si>
  <si>
    <t>BARRANQUITAS</t>
  </si>
  <si>
    <t>Turnovers made with vegetable flour</t>
  </si>
  <si>
    <t>CAROLINA</t>
  </si>
  <si>
    <t>BAYAMON</t>
  </si>
  <si>
    <t>GUAYNABO</t>
  </si>
  <si>
    <t>GUAYAMA</t>
  </si>
  <si>
    <t>PONCE</t>
  </si>
  <si>
    <t>JUANA DIAZ</t>
  </si>
  <si>
    <t>MOROVIS</t>
  </si>
  <si>
    <t>YABUCOA</t>
  </si>
  <si>
    <t>SABANA GRANDE</t>
  </si>
  <si>
    <t>LARES</t>
  </si>
  <si>
    <t>MAYAGUEZ</t>
  </si>
  <si>
    <t>LAJAS</t>
  </si>
  <si>
    <t>SALINAS</t>
  </si>
  <si>
    <t>LAS PIEDRAS</t>
  </si>
  <si>
    <t>AIBONITO</t>
  </si>
  <si>
    <t>TOA BAJA</t>
  </si>
  <si>
    <t>SAN SEBASTIAN</t>
  </si>
  <si>
    <t>CABO ROJO</t>
  </si>
  <si>
    <t>YAUCO</t>
  </si>
  <si>
    <t>NAGUABO</t>
  </si>
  <si>
    <t>Hamburguers patties processing</t>
  </si>
  <si>
    <t>PRENT PUERTO RICO, LLC</t>
  </si>
  <si>
    <t>LOCKHEED MARTIN GLOBAL, INC.</t>
  </si>
  <si>
    <t>CAMPOLOR ,INC</t>
  </si>
  <si>
    <t>CANOVANAS</t>
  </si>
  <si>
    <t>CIALES</t>
  </si>
  <si>
    <t>SAN GERMAN</t>
  </si>
  <si>
    <t>BARCELONETA</t>
  </si>
  <si>
    <t>ISABELA</t>
  </si>
  <si>
    <t>CAMUY</t>
  </si>
  <si>
    <t>UTUADO</t>
  </si>
  <si>
    <t>HATILLO</t>
  </si>
  <si>
    <t>GURABO</t>
  </si>
  <si>
    <t>CEIBA</t>
  </si>
  <si>
    <t xml:space="preserve">Manufactura de drogas y preparaciones farmacéuticas </t>
  </si>
  <si>
    <t>HORMIGUEROS</t>
  </si>
  <si>
    <t>AÑASCO</t>
  </si>
  <si>
    <t>GUANICA</t>
  </si>
  <si>
    <t>CATAÑO</t>
  </si>
  <si>
    <t>OROCOVIS</t>
  </si>
  <si>
    <t>Servicios legales</t>
  </si>
  <si>
    <t>CIDRA</t>
  </si>
  <si>
    <t>Manufactura  de instrumentos quirúrgicos y médicos</t>
  </si>
  <si>
    <t xml:space="preserve">Innovación y servicios de salud </t>
  </si>
  <si>
    <t>AGUADA</t>
  </si>
  <si>
    <t>LAS MARIAS</t>
  </si>
  <si>
    <t>PETER PAUL ELECTRIC, INC.</t>
  </si>
  <si>
    <t>UNIVERSIDAD POLITECNICA DE P.R.</t>
  </si>
  <si>
    <t>ARROYO</t>
  </si>
  <si>
    <t>Industrial and commercial printed cartons manufacturing</t>
  </si>
  <si>
    <t>TRUJILLO ALTO</t>
  </si>
  <si>
    <t>MANATI</t>
  </si>
  <si>
    <t>LUQUILLO</t>
  </si>
  <si>
    <t>COAMO</t>
  </si>
  <si>
    <t>FIDEICOMISO DE CIENCIA, TECNOLOGÍA E INVESTIGACIÓN DE PUERTO RICO AF-2016-2017</t>
  </si>
  <si>
    <t>FIDEICOMISO DE CIENCIA, TECNOLOGÍA E INVESTIGACIÓN DE PUERTO RICO AF-2017-2018</t>
  </si>
  <si>
    <t>FIDEICOMISO DE CIENCIA, TECNOLOGÍA E INVESTIGACIÓN DE PUERTO RICO AF-2018-2019</t>
  </si>
  <si>
    <t>Farmaceútica</t>
  </si>
  <si>
    <t>Muebles</t>
  </si>
  <si>
    <t>Alimentos</t>
  </si>
  <si>
    <t>Reciclaje</t>
  </si>
  <si>
    <t>Manufactura</t>
  </si>
  <si>
    <t>Aeroespacial</t>
  </si>
  <si>
    <t>Grand Total</t>
  </si>
  <si>
    <t>2016</t>
  </si>
  <si>
    <t>2017</t>
  </si>
  <si>
    <t>2018</t>
  </si>
  <si>
    <t>2019</t>
  </si>
  <si>
    <t>2020</t>
  </si>
  <si>
    <t>Total</t>
  </si>
  <si>
    <t>Incentive #</t>
  </si>
  <si>
    <t>Approval Date</t>
  </si>
  <si>
    <t>Contract Date</t>
  </si>
  <si>
    <t>Name of Recipient</t>
  </si>
  <si>
    <t>Eligible Activity</t>
  </si>
  <si>
    <t>Cash Grant Category</t>
  </si>
  <si>
    <t>Cash Grant Amount</t>
  </si>
  <si>
    <t>Amount Cancelled</t>
  </si>
  <si>
    <t xml:space="preserve">Amount Disbursed </t>
  </si>
  <si>
    <t>En Proceso</t>
  </si>
  <si>
    <t>DESTILERÍA NACIONAL, INC.</t>
  </si>
  <si>
    <t>Storage services of medical devices &amp; sterilization services</t>
  </si>
  <si>
    <t>Software development</t>
  </si>
  <si>
    <t>Ley 166-1995 - Artesanos</t>
  </si>
  <si>
    <t>Aliados Estratégicos</t>
  </si>
  <si>
    <t>Hand sanitizer and detergents</t>
  </si>
  <si>
    <t>Manufactura de vasos de papel y tapas plasticas desechables</t>
  </si>
  <si>
    <t>Manufacture of surgical products</t>
  </si>
  <si>
    <t>Manufacturing of high quality electrical wiring and connections devices</t>
  </si>
  <si>
    <t>Medical management organization exporting services</t>
  </si>
  <si>
    <t>Servicios de automatización, validación de procesos y control de calidad</t>
  </si>
  <si>
    <t>Ley 8-1986</t>
  </si>
  <si>
    <t>Transferencia de Tecnología  Ley 73-2008</t>
  </si>
  <si>
    <t>Creación/Retención Empleos Ley 60-2019</t>
  </si>
  <si>
    <t>Importancia de Proyecto Ley 60-2019</t>
  </si>
  <si>
    <t>Inversión en Infraestructura Ley 60-2019</t>
  </si>
  <si>
    <t>Inversión en Maquinaria/Equipo Ley 60-2019</t>
  </si>
  <si>
    <t>Creación/Retención Empleos Ley 73-2008</t>
  </si>
  <si>
    <t>Incentivo de Mercadeo Exterior Ley 73-2008</t>
  </si>
  <si>
    <t>Inversión en Infraestructura Ley 73-2008</t>
  </si>
  <si>
    <t>PYMES Innovadoras Ley 73-2008</t>
  </si>
  <si>
    <t>Inversión en Maquinaria/Equipo Ley 73-2008</t>
  </si>
  <si>
    <t>Incentivo de Transporte Marítimo Ley 73-2008</t>
  </si>
  <si>
    <t xml:space="preserve">Special - Disaster Recovery </t>
  </si>
  <si>
    <t>Hidroponicos Ley 73-2008</t>
  </si>
  <si>
    <t>Importancia de Proyecto Ley 73-2008</t>
  </si>
  <si>
    <t>Compra de Materia Prima Ley 73-2008</t>
  </si>
  <si>
    <t>Renta Incentivada Ley 73-2008</t>
  </si>
  <si>
    <t>Jun</t>
  </si>
  <si>
    <t>Jul</t>
  </si>
  <si>
    <t>Oct</t>
  </si>
  <si>
    <t>Nov</t>
  </si>
  <si>
    <t>Feb</t>
  </si>
  <si>
    <t>Mar</t>
  </si>
  <si>
    <t>May</t>
  </si>
  <si>
    <t>Contract End Date</t>
  </si>
  <si>
    <t>Sep</t>
  </si>
  <si>
    <t>Dec</t>
  </si>
  <si>
    <t>Aug</t>
  </si>
  <si>
    <t>Jan</t>
  </si>
  <si>
    <t>Apr</t>
  </si>
  <si>
    <t>Month</t>
  </si>
  <si>
    <t>Number</t>
  </si>
  <si>
    <t>Incentive Cash Grant Amount</t>
  </si>
  <si>
    <t>Incentive Contract Balance</t>
  </si>
  <si>
    <t>Committed Direct New Hires</t>
  </si>
  <si>
    <t>Investment</t>
  </si>
  <si>
    <t>Payroll (New Hires)</t>
  </si>
  <si>
    <t>Qtr3</t>
  </si>
  <si>
    <t>Qtr4</t>
  </si>
  <si>
    <t>Qtr1</t>
  </si>
  <si>
    <t>Qtr2</t>
  </si>
  <si>
    <t xml:space="preserve">Committed Direct New Hires </t>
  </si>
  <si>
    <t>Projects</t>
  </si>
  <si>
    <t>Committed Investment</t>
  </si>
  <si>
    <t>Committed  Payroll (New Hires)</t>
  </si>
  <si>
    <t>FY 2017 to October 2020</t>
  </si>
  <si>
    <t>Cash Grant Incentives under Law 8 - 1986, Law 166 - 1995, Law 73- 2008, Law 60 -2019</t>
  </si>
  <si>
    <t>Summary by Cash Grants Categories</t>
  </si>
  <si>
    <t>Cash Grant Incentives under Law 8 - 1986; Law 166 - 1995; Law 73- 2008; Law 60 -2019 ("FEDE" Section)</t>
  </si>
  <si>
    <t>C-Combinator Puerto Rico, LLC (C-Combinator)</t>
  </si>
  <si>
    <t>DISTRIBUIDORA LA JUGOSITA, INC.</t>
  </si>
  <si>
    <t>GASCO INDUSTRIAL CORP. (GASCO INDUSTRIAL,CORP)</t>
  </si>
  <si>
    <t>MetalMax Caribe LLC</t>
  </si>
  <si>
    <t>TRAFON GROUP,INC. (TRAFON GROUP, INC.)</t>
  </si>
  <si>
    <t>VALERO INC.</t>
  </si>
  <si>
    <t>WHITE GLACIER MANUFACTURING CORP.</t>
  </si>
  <si>
    <t>FENWAL INTERNATIONAL INC (Proyecto: Centro de Excelencia de Investigación y Desarrollo )</t>
  </si>
  <si>
    <t xml:space="preserve">OLEIN RECOVERY CORPORATION </t>
  </si>
  <si>
    <t>VISION WORKS OF PUERTO RICO INC</t>
  </si>
  <si>
    <t>Teksol Integration Group</t>
  </si>
  <si>
    <t>DANITO ALUMINUM ,INC</t>
  </si>
  <si>
    <t>NARANJITO</t>
  </si>
  <si>
    <t>RIO GRANDE</t>
  </si>
  <si>
    <t>ROI</t>
  </si>
  <si>
    <t>CytoInmune Therapeutics Puerto Rico LLC</t>
  </si>
  <si>
    <t>DP ENTERPRISE CORP</t>
  </si>
  <si>
    <t>Global-Tek Manufacturing, Inc.</t>
  </si>
  <si>
    <t>J TORRES WOODEN PALLETS RECYCLING, INC.</t>
  </si>
  <si>
    <t>PAPELERA PUERTORRIQUEÑA, INC.</t>
  </si>
  <si>
    <t>PRODUCTOS PACHECO INC.</t>
  </si>
  <si>
    <t>TOWER CABINET INC.</t>
  </si>
  <si>
    <t>Universidad Interamericana</t>
  </si>
  <si>
    <t>VEGA ALTA</t>
  </si>
  <si>
    <t>San Juan</t>
  </si>
  <si>
    <t>Otros Incentivos</t>
  </si>
  <si>
    <t>PATHEON PUERTO RICO, Inc (Proyecto Synjardy)</t>
  </si>
  <si>
    <t>BEYOND PVC</t>
  </si>
  <si>
    <t>BIOSOMILAR SCIENCES PR, LLC (Project Flamboyant)</t>
  </si>
  <si>
    <t>FIE60-2020-2021-145</t>
  </si>
  <si>
    <t>FIE60-2020-2021-146</t>
  </si>
  <si>
    <t>FIE60-2020-2021-0129</t>
  </si>
  <si>
    <t>FIE60-2020-2021-0130</t>
  </si>
  <si>
    <t>FIE60-2020-2021-0109</t>
  </si>
  <si>
    <t>FIE60-2020-2021-0110</t>
  </si>
  <si>
    <t>FIE60-2020-2021-0111</t>
  </si>
  <si>
    <t>FIE60-2020-2021-0131</t>
  </si>
  <si>
    <t>FIE60-2020-2021-0116</t>
  </si>
  <si>
    <t>2021-000217</t>
  </si>
  <si>
    <t>FIE60-2020-2021-0121</t>
  </si>
  <si>
    <t>FIE60-2020-2021-0135</t>
  </si>
  <si>
    <t>FIE60-2020-2021-0143</t>
  </si>
  <si>
    <t>FIE60-2020-2021-0168</t>
  </si>
  <si>
    <t>FIE60-2020-2021-0169</t>
  </si>
  <si>
    <t>FIE60-2020-2021-0140</t>
  </si>
  <si>
    <t>FIE60-2020-2021-0132</t>
  </si>
  <si>
    <t>FIE60-2020-2021-0133</t>
  </si>
  <si>
    <t>FIE60-2020-2021-0127</t>
  </si>
  <si>
    <t>FIE60-2020-2021-0123</t>
  </si>
  <si>
    <t>FIE60-2020-2021-0125</t>
  </si>
  <si>
    <t>FIE60-2020-2021-0126</t>
  </si>
  <si>
    <t>FIE60-2020-2021-0174</t>
  </si>
  <si>
    <t>FIE60-2020-2021-0175</t>
  </si>
  <si>
    <t>FIE60-2020-2021-0176</t>
  </si>
  <si>
    <t>FIE60-2020-2021-0177</t>
  </si>
  <si>
    <t>FIE60-2020-2021-0178</t>
  </si>
  <si>
    <t>FIE60-2020-2021-0153</t>
  </si>
  <si>
    <t>FIE60-2020-2021-0154</t>
  </si>
  <si>
    <t>FIE60-2020-2021-0155</t>
  </si>
  <si>
    <t>FIE60-2020-2021-0163</t>
  </si>
  <si>
    <t>FIE60-2020-2021-0165</t>
  </si>
  <si>
    <t>FIE60-2020-2021-0156</t>
  </si>
  <si>
    <t>Aliados estratégicos</t>
  </si>
  <si>
    <t>FIE60-2020-2021-0157</t>
  </si>
  <si>
    <t>FIE60-2020-2021-0166</t>
  </si>
  <si>
    <t>FIE60-2020-2021-0159</t>
  </si>
  <si>
    <t>FIE60-2020-2021-0160</t>
  </si>
  <si>
    <t>FIE60-2020-2021-0150</t>
  </si>
  <si>
    <t>Manufactura de alimentos</t>
  </si>
  <si>
    <t>Biotecnología agrícola</t>
  </si>
  <si>
    <t>Structural metal products for construction industry</t>
  </si>
  <si>
    <t>Collection, recycling and re-refining of used motor oil</t>
  </si>
  <si>
    <t>Aluminum doors and windows manufacturing</t>
  </si>
  <si>
    <t>Pallets manufacture</t>
  </si>
  <si>
    <t>Manufacturing of plastic bottles </t>
  </si>
  <si>
    <t>Manufactura de muebles</t>
  </si>
  <si>
    <t>Industrias Creativas</t>
  </si>
  <si>
    <t>2021-000199</t>
  </si>
  <si>
    <t>2021-000162</t>
  </si>
  <si>
    <t>2021-000196</t>
  </si>
  <si>
    <t>2021-000160</t>
  </si>
  <si>
    <t>2021-000178</t>
  </si>
  <si>
    <t>2021-000191</t>
  </si>
  <si>
    <t>2021-000221</t>
  </si>
  <si>
    <t>2021-000216</t>
  </si>
  <si>
    <t>2021-000204</t>
  </si>
  <si>
    <t>2021-000151</t>
  </si>
  <si>
    <t>2021-000152</t>
  </si>
  <si>
    <t>2021-000188</t>
  </si>
  <si>
    <t>2021-000207</t>
  </si>
  <si>
    <t>2021-000220</t>
  </si>
  <si>
    <t>2021-000227</t>
  </si>
  <si>
    <t>2021-000112</t>
  </si>
  <si>
    <t>2021-000111</t>
  </si>
  <si>
    <t>2021-000110</t>
  </si>
  <si>
    <t>2021-000170</t>
  </si>
  <si>
    <t>2021-000190</t>
  </si>
  <si>
    <t>2021-000124</t>
  </si>
  <si>
    <t>2021-000125</t>
  </si>
  <si>
    <t>2020-000420</t>
  </si>
  <si>
    <t>2020-000419</t>
  </si>
  <si>
    <t>2020-000331</t>
  </si>
  <si>
    <t>2021-000228</t>
  </si>
  <si>
    <t>2021-000246</t>
  </si>
  <si>
    <t>2021-000248</t>
  </si>
  <si>
    <t>2021-000255</t>
  </si>
  <si>
    <t>2021-000233</t>
  </si>
  <si>
    <t>2021-000234</t>
  </si>
  <si>
    <t>2021-000290</t>
  </si>
  <si>
    <t>2021-000295</t>
  </si>
  <si>
    <t>2021-000231</t>
  </si>
  <si>
    <t>2021-000232</t>
  </si>
  <si>
    <t>FIE60-2020-2021-0215</t>
  </si>
  <si>
    <t>FIE60-2020-2021-0216</t>
  </si>
  <si>
    <t>FIE60-2020-2021-0235</t>
  </si>
  <si>
    <t>FIE60-2020-2021-0236</t>
  </si>
  <si>
    <t>FIE60-2020-2021-0237</t>
  </si>
  <si>
    <t>FIE60-2020-2021-0238</t>
  </si>
  <si>
    <t>FIE60-2020-2021-0244</t>
  </si>
  <si>
    <t>FIE60-2020-2021-0245</t>
  </si>
  <si>
    <t>FIE60-2020-2021-0246</t>
  </si>
  <si>
    <t>FIE60-2020-2021-0247</t>
  </si>
  <si>
    <t>FIE60-2020-2021-0248</t>
  </si>
  <si>
    <t>FIE60-2020-2021-0249</t>
  </si>
  <si>
    <t>FIE60-2020-2021-0250</t>
  </si>
  <si>
    <t>FIE60-2020-2021-0251</t>
  </si>
  <si>
    <t>FIE60-2020-2021-0268</t>
  </si>
  <si>
    <t>FIE60-2020-2021-0259</t>
  </si>
  <si>
    <t>FIE60-2020-2021-0260</t>
  </si>
  <si>
    <t>FIE60-2020-2021-0261</t>
  </si>
  <si>
    <t>FIE60-2020-2021-0269</t>
  </si>
  <si>
    <t>FIE60-2020-2021-0270</t>
  </si>
  <si>
    <t>FIE60-2020-2021-0271</t>
  </si>
  <si>
    <t>FIE60-2020-2021-0274</t>
  </si>
  <si>
    <t>FIE60-2020-2021-0275</t>
  </si>
  <si>
    <t>FIE60-2020-2021-0276</t>
  </si>
  <si>
    <t>FIE60-2020-2021-0277</t>
  </si>
  <si>
    <t>FIE60-2020-2021-0278</t>
  </si>
  <si>
    <t>JDK GROUP DBA JUGOS DEL KAMPO</t>
  </si>
  <si>
    <t>B. BAKERY</t>
  </si>
  <si>
    <t>DULCES LA FE, INC.</t>
  </si>
  <si>
    <t>TEECHEALO LLC</t>
  </si>
  <si>
    <t>OMEGA &amp; DELTA CO, INC.</t>
  </si>
  <si>
    <t>WORLD SPIRITS, LLC</t>
  </si>
  <si>
    <t>ERNESTO MORALES RAMOS</t>
  </si>
  <si>
    <t>PRODUCTOS GILMAR CORP.</t>
  </si>
  <si>
    <t>GA SALES LLC</t>
  </si>
  <si>
    <t>WAWI</t>
  </si>
  <si>
    <t>RUBIDEX SERVICES LLC</t>
  </si>
  <si>
    <t>Impresion de ropa</t>
  </si>
  <si>
    <t>Manufactura personal care</t>
  </si>
  <si>
    <t>Beverage alcoholic manufacturing</t>
  </si>
  <si>
    <t>ADJUNTAS</t>
  </si>
  <si>
    <t>Quarterly Cash Grants Report</t>
  </si>
  <si>
    <t>Incentive Cash Grants Amount</t>
  </si>
  <si>
    <t>2021-000026-A</t>
  </si>
  <si>
    <t>2021-000154</t>
  </si>
  <si>
    <t>2021-000153</t>
  </si>
  <si>
    <t>FIE60-2018-2019-0002</t>
  </si>
  <si>
    <t>FIE60-2018-2019-0003</t>
  </si>
  <si>
    <t>FIE60-2021-2022-0001</t>
  </si>
  <si>
    <t>TALLER DE RECICLAJE DE METALES INC.</t>
  </si>
  <si>
    <t>FIE60-2021-2022-0003</t>
  </si>
  <si>
    <t xml:space="preserve">SNC TECHNICAL SERVICES LLC.  </t>
  </si>
  <si>
    <t>FIE60-2021-2022-0004</t>
  </si>
  <si>
    <t>LA POLA LLC.</t>
  </si>
  <si>
    <t>FIE60-2021-2022-0007</t>
  </si>
  <si>
    <t>CARLOS ESCRIBANO LLC</t>
  </si>
  <si>
    <t>FIE60-2021-2022-0012</t>
  </si>
  <si>
    <t>MHL CUSTOM, INC. (MHL)</t>
  </si>
  <si>
    <t>FIE60-2021-2022-0013</t>
  </si>
  <si>
    <t>FIE60-2021-2022-0014</t>
  </si>
  <si>
    <t>FIE60-2021-2022-0017</t>
  </si>
  <si>
    <t>CONDADO WINDOWS HURRICANE PROTECTION INC. (CWHP)</t>
  </si>
  <si>
    <t>BAYAMÓN</t>
  </si>
  <si>
    <t>FIE60-2021-2022-0018</t>
  </si>
  <si>
    <t>FIE60-2021-2022-0019</t>
  </si>
  <si>
    <t>7 EAGLE GROUP CARIBE LLC</t>
  </si>
  <si>
    <t>FIE60-2021-2022-0020</t>
  </si>
  <si>
    <t>FIE60-2021-2022-0021</t>
  </si>
  <si>
    <t>FIE60-2021-2022-0022</t>
  </si>
  <si>
    <t>L.S. QUILTING, INC.</t>
  </si>
  <si>
    <t>JUANA DÍAZ</t>
  </si>
  <si>
    <t>FIE60-2021-2022-0034</t>
  </si>
  <si>
    <t>ABBVIE BIOTECHNOLOGY LTD.</t>
  </si>
  <si>
    <t>FIE60-2021-2022-0035</t>
  </si>
  <si>
    <t>MAYAGÜEZ</t>
  </si>
  <si>
    <t>FIE60-2021-2022-0041</t>
  </si>
  <si>
    <t>DE PUEBLO LLC</t>
  </si>
  <si>
    <t>FIE60-2021-2022-0042</t>
  </si>
  <si>
    <t>FIE60-2021-2022-0047</t>
  </si>
  <si>
    <t>BETTINA COSMETICS INC.</t>
  </si>
  <si>
    <t>FIE60-2021-2022-0048</t>
  </si>
  <si>
    <t>FIE60-2021-2022-0049</t>
  </si>
  <si>
    <t>VAQUERÍA TRES MONJITAS, INC.</t>
  </si>
  <si>
    <t>FIE60-2021-2022-0039</t>
  </si>
  <si>
    <t>COPAN INDUSTRIES INC</t>
  </si>
  <si>
    <t>FIE60-2021-2022-0040</t>
  </si>
  <si>
    <t>FIE60-2021-2022-0050</t>
  </si>
  <si>
    <t>PRIME AIR CORP</t>
  </si>
  <si>
    <t>FIE60-2021-2022-0052</t>
  </si>
  <si>
    <t>2020-000203</t>
  </si>
  <si>
    <t>2021-000251</t>
  </si>
  <si>
    <t>2021-000252</t>
  </si>
  <si>
    <t>2021-000070</t>
  </si>
  <si>
    <t>2021-000069</t>
  </si>
  <si>
    <t>2021-000208</t>
  </si>
  <si>
    <t>2021-000209</t>
  </si>
  <si>
    <t>2021-000312</t>
  </si>
  <si>
    <t>2022-000064</t>
  </si>
  <si>
    <t>2022-000065</t>
  </si>
  <si>
    <t>2022-000059</t>
  </si>
  <si>
    <t>2022-000019</t>
  </si>
  <si>
    <t>2022-000020</t>
  </si>
  <si>
    <t>2022-000034</t>
  </si>
  <si>
    <t>2022-000035</t>
  </si>
  <si>
    <t>2022-000083</t>
  </si>
  <si>
    <t>2022-000084</t>
  </si>
  <si>
    <t>2022-000119</t>
  </si>
  <si>
    <t>2022-000054</t>
  </si>
  <si>
    <t>2022-000055</t>
  </si>
  <si>
    <t>2021-000135</t>
  </si>
  <si>
    <t>2021-000141</t>
  </si>
  <si>
    <t>FIE60-2020-2021-0199</t>
  </si>
  <si>
    <t>2021-000264</t>
  </si>
  <si>
    <t>2021-000175</t>
  </si>
  <si>
    <t>2021-000181</t>
  </si>
  <si>
    <t>2021-000249</t>
  </si>
  <si>
    <t>SUNNE LABS CORPORATION</t>
  </si>
  <si>
    <t>FIE60-2019-2020-0019</t>
  </si>
  <si>
    <t>FIE60-2019-2020-0018</t>
  </si>
  <si>
    <t>FIE60-2019-2020-0008</t>
  </si>
  <si>
    <t>2021-000138</t>
  </si>
  <si>
    <t>FE-2015-2016-0024</t>
  </si>
  <si>
    <t>2016-000616</t>
  </si>
  <si>
    <t>2020-000321-B</t>
  </si>
  <si>
    <t>FIE60-2020-2021-0170</t>
  </si>
  <si>
    <t>FIE60-2020-2021-0171</t>
  </si>
  <si>
    <t>AUTOPAK ENGINEERING, CORP.</t>
  </si>
  <si>
    <t>FIE60-2021-2022-0023</t>
  </si>
  <si>
    <t>2022-000043</t>
  </si>
  <si>
    <t>GLOBAL EDUCATION EXCHANGE OPPORT.INC.</t>
  </si>
  <si>
    <t>MANATÍ</t>
  </si>
  <si>
    <t xml:space="preserve">   </t>
  </si>
  <si>
    <t>Programa de apoyo a empresarios minoritarios</t>
  </si>
  <si>
    <t>2021-000156</t>
  </si>
  <si>
    <t>2021-000145</t>
  </si>
  <si>
    <t>2021-000177</t>
  </si>
  <si>
    <t>2021-000179</t>
  </si>
  <si>
    <t>2021-000132</t>
  </si>
  <si>
    <t>2021-000164</t>
  </si>
  <si>
    <t>2021-000137</t>
  </si>
  <si>
    <t>2022-000189</t>
  </si>
  <si>
    <t>2022-000190</t>
  </si>
  <si>
    <t>2022-000191</t>
  </si>
  <si>
    <t>2021-000336-A</t>
  </si>
  <si>
    <t>2022-000150</t>
  </si>
  <si>
    <t>2022-000151</t>
  </si>
  <si>
    <t>2022-000228</t>
  </si>
  <si>
    <t>2022-000229</t>
  </si>
  <si>
    <t>2022-000160</t>
  </si>
  <si>
    <t>2022-000171</t>
  </si>
  <si>
    <t>2022-000217</t>
  </si>
  <si>
    <t>2022-000218</t>
  </si>
  <si>
    <t>2022-000211</t>
  </si>
  <si>
    <t>2022-000212</t>
  </si>
  <si>
    <t>2022-000213</t>
  </si>
  <si>
    <t>2022-000208</t>
  </si>
  <si>
    <t>2022-000248</t>
  </si>
  <si>
    <t>2022-000249</t>
  </si>
  <si>
    <t>2022-000250</t>
  </si>
  <si>
    <t>2022-000254</t>
  </si>
  <si>
    <t>2022-000256</t>
  </si>
  <si>
    <t>2022-000255</t>
  </si>
  <si>
    <t>2022-000257</t>
  </si>
  <si>
    <t>2022-000216</t>
  </si>
  <si>
    <t>2022-000215</t>
  </si>
  <si>
    <t>FIE60-2021-2022-0056</t>
  </si>
  <si>
    <t>PATHEON PUERTO RICO, INC</t>
  </si>
  <si>
    <t>FIE60-2021-2022-0061</t>
  </si>
  <si>
    <t>2022-000246</t>
  </si>
  <si>
    <t>ONCE AND FOR ALL TIRES LLC</t>
  </si>
  <si>
    <t>FIE60-2021-2022-0062</t>
  </si>
  <si>
    <t>2022-000247</t>
  </si>
  <si>
    <t>FIE60-2021-2022-0065</t>
  </si>
  <si>
    <t>SAN JUAN ARTISAN DISTILLERS, LLC</t>
  </si>
  <si>
    <t>FIE60-2021-2022-0066</t>
  </si>
  <si>
    <t>AGUAS BUENAS</t>
  </si>
  <si>
    <t>FIE60-2021-2022-0024</t>
  </si>
  <si>
    <t>2022-000185</t>
  </si>
  <si>
    <t>2020-000454</t>
  </si>
  <si>
    <t>AGRO EMPRESAS DEL MAR, LLC</t>
  </si>
  <si>
    <t>FIE60-2021-2022-0074</t>
  </si>
  <si>
    <t>BLUWAVE CORP.</t>
  </si>
  <si>
    <t>FIE60-2021-2022-0077</t>
  </si>
  <si>
    <t>M&amp;M OPTICAL SHOP CORP.</t>
  </si>
  <si>
    <t>Manufactura de lentes oftálmicos</t>
  </si>
  <si>
    <t>FIE60-2021-2022-0078</t>
  </si>
  <si>
    <t>FIE60-2021-2022-0085</t>
  </si>
  <si>
    <t>FIE60-2021-2022-0087</t>
  </si>
  <si>
    <t>FIE60-2021-2022-0088</t>
  </si>
  <si>
    <t>2022-000210</t>
  </si>
  <si>
    <t>2022-000131</t>
  </si>
  <si>
    <t>MH TECHNOLOGY GROUP, LLC</t>
  </si>
  <si>
    <t>FIE60-2021-2022-0096</t>
  </si>
  <si>
    <t>LA OROCOVEÑA BISCUIT DE PUERTO RICO, INC.</t>
  </si>
  <si>
    <t>FIE60-2021-2022-0109</t>
  </si>
  <si>
    <t>FIE60-2021-2022-0110</t>
  </si>
  <si>
    <t>FIE60-2021-2022-0111</t>
  </si>
  <si>
    <t>FASCIAS INDUSTRIES LLC</t>
  </si>
  <si>
    <t>FIE60-2021-2022-0113</t>
  </si>
  <si>
    <t>GARRIGA TRADING COMPANY, INC.</t>
  </si>
  <si>
    <t>FIE60-2021-2022-0117</t>
  </si>
  <si>
    <t>MC GREEN SOLUTIONS, LLC</t>
  </si>
  <si>
    <t>FLORIDA</t>
  </si>
  <si>
    <t>N &amp; D PRODUCTS, LLC.</t>
  </si>
  <si>
    <t>Elaboración de productos de repostería, tales como "pound cake" en diversos sabores.  También se eleboraran "domplines".</t>
  </si>
  <si>
    <t>FIE60-2021-2022-0120</t>
  </si>
  <si>
    <t>FIE60-2021-2022-0122</t>
  </si>
  <si>
    <t>PREMIERE CHEMICAL COMPANY CORP</t>
  </si>
  <si>
    <t>FIE60-2021-2022-0123</t>
  </si>
  <si>
    <t>FIE60-2021-2022-0124</t>
  </si>
  <si>
    <t>PUERTO RICO HOSPITAL SUPPLY, INC.</t>
  </si>
  <si>
    <t>FIE60-2021-2022-0128</t>
  </si>
  <si>
    <t>RONES SUPERIORES DE PUERTO RICO &amp; COMPAÑÍA, INC.</t>
  </si>
  <si>
    <t>FIE60-2021-2022-0129</t>
  </si>
  <si>
    <t>FIE60-2021-2022-0130</t>
  </si>
  <si>
    <t>SANTOS J. HERNÁNDEZ AVILÉS D/B/A/ LA VILLA METALS</t>
  </si>
  <si>
    <t>Recolección y compactación de metales reciclables, plásticos, papel, cartón y baterías</t>
  </si>
  <si>
    <t>FIE60-2021-2022-0131</t>
  </si>
  <si>
    <t>FIE60-2021-2022-0132</t>
  </si>
  <si>
    <t>TRANSPORTE RODRÍGUEZ ASFALTO, INC.</t>
  </si>
  <si>
    <t>FIE60-2021-2022-0133</t>
  </si>
  <si>
    <t>JOSE V. FABRE LABOY</t>
  </si>
  <si>
    <t>Germinación de plantas de melón, ají, pimiento, calabaza, pepinillo, plátano, guineo, entre otros productos</t>
  </si>
  <si>
    <t>VEGETALES HIDROPONICOS, INC.</t>
  </si>
  <si>
    <t>Cilantrillo, tomates, pimientos, entre otros productos</t>
  </si>
  <si>
    <t>HACIENDA BRILOMAR, INC.</t>
  </si>
  <si>
    <t>2021-000186</t>
  </si>
  <si>
    <t>GRUPO VESAN, LLC</t>
  </si>
  <si>
    <t>Variedad de lechugas</t>
  </si>
  <si>
    <t>FIE60-2020-2021-0142</t>
  </si>
  <si>
    <t>Producción vertical de vegetales mediante aeropónicos</t>
  </si>
  <si>
    <t>JOSE T. ROMAN BARCELO, INC.</t>
  </si>
  <si>
    <t>FIE60-2017-2018-0001</t>
  </si>
  <si>
    <t>2022-000085</t>
  </si>
  <si>
    <t>HACIENDA TIO CANO, INC.</t>
  </si>
  <si>
    <t>Auspicio</t>
  </si>
  <si>
    <t>Politica Pública</t>
  </si>
  <si>
    <t>FIE60-2021-2022-0105</t>
  </si>
  <si>
    <t>FIE60-2021-2022-0106</t>
  </si>
  <si>
    <t>FIE60-2021-2022-0107</t>
  </si>
  <si>
    <t>FIE60-2021-2022-0159</t>
  </si>
  <si>
    <t>FIE60-2021-2022-0161</t>
  </si>
  <si>
    <t>FIE60-2021-2022-0135</t>
  </si>
  <si>
    <t>FIE60-2021-2022-0137</t>
  </si>
  <si>
    <t>FIE60-2021-2022-0138</t>
  </si>
  <si>
    <t>FIE60-2021-2022-0139</t>
  </si>
  <si>
    <t>FIE60-2021-2022-0140</t>
  </si>
  <si>
    <t>FIE60-2021-2022-0145</t>
  </si>
  <si>
    <t>FIE60-2021-2022-0147</t>
  </si>
  <si>
    <t>FIE60-2021-2022-0148</t>
  </si>
  <si>
    <t>FIE60-2021-2022-0149</t>
  </si>
  <si>
    <t>FIE60-2021-2022-0152</t>
  </si>
  <si>
    <t>FIE60-2021-2022-0153</t>
  </si>
  <si>
    <t>FIE60-2021-2022-0154</t>
  </si>
  <si>
    <t>FIE60-2021-2022-0155</t>
  </si>
  <si>
    <t>FIE60-2021-2022-0156</t>
  </si>
  <si>
    <t>FIE60-2021-2022-0157</t>
  </si>
  <si>
    <t>FIE60-2021-2022-0164</t>
  </si>
  <si>
    <t>FIE60-2021-2022-0165</t>
  </si>
  <si>
    <t>CHEMICAL SOLUTIONS, LLC.</t>
  </si>
  <si>
    <t>AKM MFG., INC.</t>
  </si>
  <si>
    <t>A AVANTI KITCHENS, INC.</t>
  </si>
  <si>
    <t>MADE IN AMERICA</t>
  </si>
  <si>
    <t>MUMAS RENACIENDO CORP.</t>
  </si>
  <si>
    <t>SARTORIUS PUERTO RICO, INC.</t>
  </si>
  <si>
    <t>AJR MANUFACTURING CORP.</t>
  </si>
  <si>
    <t>WINSTOM SALEM INDUSTRIES FOR THE BLIND</t>
  </si>
  <si>
    <t>BAXTER HEALTHCARE CORP. (ALASKA)</t>
  </si>
  <si>
    <t>ONE HEALTH DIRECT, LLC</t>
  </si>
  <si>
    <t>SAN LORENZO</t>
  </si>
  <si>
    <t xml:space="preserve">Fabricación de equipos de protección personal </t>
  </si>
  <si>
    <t>2022-000285</t>
  </si>
  <si>
    <t>2022-000286</t>
  </si>
  <si>
    <t>PEÑUELAS</t>
  </si>
  <si>
    <t>FIE60-2021-2022-0171</t>
  </si>
  <si>
    <t>FIE60-2021-2022-0174</t>
  </si>
  <si>
    <t>FIE60-2021-2022-0175</t>
  </si>
  <si>
    <t>FIE60-2021-2022-0176</t>
  </si>
  <si>
    <t>FIE60-2021-2022-0177</t>
  </si>
  <si>
    <t>FIE60-2021-2022-0178</t>
  </si>
  <si>
    <t>LR FOODS,INC.</t>
  </si>
  <si>
    <t>LAJ INVESTMENT  &amp; MANAGEMENT, LLC</t>
  </si>
  <si>
    <t>OIL ENERGY SYSTEMS</t>
  </si>
  <si>
    <t>LOYD SANABRIA H/N/C AVÍCOLA SANTA FÉ</t>
  </si>
  <si>
    <t>2020-000433</t>
  </si>
  <si>
    <t>LA FINCA DE DON JUAN CORP.</t>
  </si>
  <si>
    <t>Comerío</t>
  </si>
  <si>
    <t>Acuaponía, cilantro, variedad de lechugas y productos relacionados</t>
  </si>
  <si>
    <t>2022-000200-B</t>
  </si>
  <si>
    <t>2022-000293</t>
  </si>
  <si>
    <t>2022-000294</t>
  </si>
  <si>
    <t>2022-000306</t>
  </si>
  <si>
    <t>2022-000326</t>
  </si>
  <si>
    <t>2022-000314</t>
  </si>
  <si>
    <t>2022-000315</t>
  </si>
  <si>
    <t>2022-000320</t>
  </si>
  <si>
    <t>2022-000321</t>
  </si>
  <si>
    <t>2022-000322</t>
  </si>
  <si>
    <t>2022-000323</t>
  </si>
  <si>
    <t>2022-000330</t>
  </si>
  <si>
    <t>2022-000331</t>
  </si>
  <si>
    <t>2022-000334</t>
  </si>
  <si>
    <t>2022-000335</t>
  </si>
  <si>
    <t>Diseño y desarrollo de programas o aplicaciones licenciados para su reproducción en escala comercial</t>
  </si>
  <si>
    <t>2022-000337</t>
  </si>
  <si>
    <t>2022-000338</t>
  </si>
  <si>
    <t>2022-000339</t>
  </si>
  <si>
    <t>2022-000340</t>
  </si>
  <si>
    <t>2022-000351</t>
  </si>
  <si>
    <t>FIE60-2021-2022-0192</t>
  </si>
  <si>
    <t>FIE60-2021-2022-0185</t>
  </si>
  <si>
    <t>FIE60-2021-2022-0187</t>
  </si>
  <si>
    <t>FIE60-2021-2022-0193</t>
  </si>
  <si>
    <t>FIE60-2021-2022-0194</t>
  </si>
  <si>
    <t>FIE60-2021-2022-0195</t>
  </si>
  <si>
    <t>FIE60-2021-2022-0196</t>
  </si>
  <si>
    <t>FIE60-2021-2022-0197</t>
  </si>
  <si>
    <t>FIE60-2021-2022-0199</t>
  </si>
  <si>
    <t>FIE60-2021-2022-0200</t>
  </si>
  <si>
    <t>FIE60-2021-2022-0201</t>
  </si>
  <si>
    <t>CENTRAL PACKAGING CARIBE, INC.</t>
  </si>
  <si>
    <t>CHARLES D. PETERSON DBA THE AVIATOR'S BREWERY</t>
  </si>
  <si>
    <t>GFREE FOODS LLC</t>
  </si>
  <si>
    <t>REINA MORA BREWING CO LLC</t>
  </si>
  <si>
    <t>ROTOSOLUTIONS PR LLC</t>
  </si>
  <si>
    <t>SUN IS LIFE OF PUERTO RICO, INC.</t>
  </si>
  <si>
    <t>Desarrollo y confección de productos de repostería libres de gluten y lácteos</t>
  </si>
  <si>
    <t>Manufactura de calentadadores  solares, cisternas y tanques para agua y productos relacionados</t>
  </si>
  <si>
    <t>Costura de ropa de casa y productos relacionados</t>
  </si>
  <si>
    <t>2021-000211-A</t>
  </si>
  <si>
    <t>2022-000332</t>
  </si>
  <si>
    <t>2022-000348</t>
  </si>
  <si>
    <t>2022-000349</t>
  </si>
  <si>
    <t>EMPRESAS RAMOS PEREZ, LLC</t>
  </si>
  <si>
    <t>BRENDALIS RODRIGUEZ TORRES</t>
  </si>
  <si>
    <t>2022-000367</t>
  </si>
  <si>
    <t>2022-000369</t>
  </si>
  <si>
    <t>2022-000371</t>
  </si>
  <si>
    <t>2022-000373</t>
  </si>
  <si>
    <t>2022-000375</t>
  </si>
  <si>
    <t>2022-000381</t>
  </si>
  <si>
    <t>2022-000378</t>
  </si>
  <si>
    <t>2022-000379</t>
  </si>
  <si>
    <t>2022-000394</t>
  </si>
  <si>
    <t>VILLALBA</t>
  </si>
  <si>
    <t>2022-000023</t>
  </si>
  <si>
    <t>Inf Adicional Necesaria</t>
  </si>
  <si>
    <t>2015</t>
  </si>
  <si>
    <t>2021</t>
  </si>
  <si>
    <t>2022</t>
  </si>
  <si>
    <t>Hidropónicos Ley 73-2008</t>
  </si>
  <si>
    <t>FIE60-2021-2022-0206</t>
  </si>
  <si>
    <t>FIE60-2021-2022-0207</t>
  </si>
  <si>
    <t>FIE60-2021-2022-0208</t>
  </si>
  <si>
    <t>FIE60-2021-2022-0209</t>
  </si>
  <si>
    <t>FIE60-2021-2022-0217</t>
  </si>
  <si>
    <t>FIE60-2021-2022-0218</t>
  </si>
  <si>
    <t>FIE60-2021-2022-0219</t>
  </si>
  <si>
    <t>FIE60-2021-2022-0221</t>
  </si>
  <si>
    <t>FIE60-2021-2022-0223</t>
  </si>
  <si>
    <t>FIE60-2021-2022-0225</t>
  </si>
  <si>
    <t>FIE60-2021-2022-0226</t>
  </si>
  <si>
    <t>AURORITA FOOD AND SPIRITS, LLC</t>
  </si>
  <si>
    <t>ALCO STEEL MANUFACTURING LLC</t>
  </si>
  <si>
    <t>BENITEZ METAL MANUFACTURING, CORP.</t>
  </si>
  <si>
    <t>MARVEL INTERNATIONAL, INC..</t>
  </si>
  <si>
    <t>NEGRON ENTERPRISES, LLC</t>
  </si>
  <si>
    <t>WEST CONTRACT MFG., LLC</t>
  </si>
  <si>
    <t>FIE60-2021-2022-0212</t>
  </si>
  <si>
    <t>2021-000098-A</t>
  </si>
  <si>
    <t>FIE60-2021-2022-0134</t>
  </si>
  <si>
    <t>2022-000343</t>
  </si>
  <si>
    <t>ALEXANDRA SOFIA VALENTIN GONZALEZ</t>
  </si>
  <si>
    <t>2022-000344</t>
  </si>
  <si>
    <t>JUAN DIEGO GUZMAN SANTIAGO</t>
  </si>
  <si>
    <t>2022-000345</t>
  </si>
  <si>
    <t>MICHELLE CAMILE BOU ROJAS</t>
  </si>
  <si>
    <t>2022-000346</t>
  </si>
  <si>
    <t>ABDIEL RAUL VEGA PACHECO</t>
  </si>
  <si>
    <t>2022-000403</t>
  </si>
  <si>
    <t>2022-000404</t>
  </si>
  <si>
    <t>JUAN LUIS CONCEPCION SIERRA</t>
  </si>
  <si>
    <t>2022-000423</t>
  </si>
  <si>
    <t>SOCIAL GAME MEDIA, INC.</t>
  </si>
  <si>
    <t>2022-000425</t>
  </si>
  <si>
    <t>2022-000424</t>
  </si>
  <si>
    <t>2022-000431</t>
  </si>
  <si>
    <t>2022-000433</t>
  </si>
  <si>
    <t>2022-000438</t>
  </si>
  <si>
    <t>2022-000439</t>
  </si>
  <si>
    <t>2022-000451</t>
  </si>
  <si>
    <t>RINCÓN</t>
  </si>
  <si>
    <t>Siembra de hidropónico</t>
  </si>
  <si>
    <t>FIE60-2021-2022-0230</t>
  </si>
  <si>
    <t>FIE60-2021-2022-0231</t>
  </si>
  <si>
    <t>FIE60-2021-2022-0232</t>
  </si>
  <si>
    <t>FIE60-2021-2022-0233</t>
  </si>
  <si>
    <t>HOGAREA, INC.</t>
  </si>
  <si>
    <t>RE-SYNTH NEW HORIZONS LLC</t>
  </si>
  <si>
    <t>Producción de combustibles sintéticos</t>
  </si>
  <si>
    <t>2022-000490</t>
  </si>
  <si>
    <t>2022-000489</t>
  </si>
  <si>
    <t>2022-000506</t>
  </si>
  <si>
    <t>YOMAR E. CRISPIN APONTE</t>
  </si>
  <si>
    <t>MUNICIPIO AUTONOMO DE GUAYNABO</t>
  </si>
  <si>
    <t>FIE60-2021-2022-0244</t>
  </si>
  <si>
    <t>KRYSTAL MARIE DOMINGUEZ VAZQUEZ</t>
  </si>
  <si>
    <t>FIE60-2021-2022-0253</t>
  </si>
  <si>
    <t>FIE60-2021-2022-0256</t>
  </si>
  <si>
    <t>QG INDUSTRIES, INC.</t>
  </si>
  <si>
    <t>QUALITY GLAZING CONTRACTORS, INC.</t>
  </si>
  <si>
    <t>Manufactura de cristalería y espejos</t>
  </si>
  <si>
    <t>Manufactura de productos en aluminio y relacionados</t>
  </si>
  <si>
    <t>DULZURA BORINCANA, INC.</t>
  </si>
  <si>
    <t>2022-000419-A</t>
  </si>
  <si>
    <t>2022-000507</t>
  </si>
  <si>
    <t>2022-000508</t>
  </si>
  <si>
    <t>FIE60-2021-2022-0236</t>
  </si>
  <si>
    <t>DIVA FARM, LLC</t>
  </si>
  <si>
    <t>2022-000534</t>
  </si>
  <si>
    <t>2022-000536</t>
  </si>
  <si>
    <t>2022-000535</t>
  </si>
  <si>
    <t>FIE60-2021-2022-0235</t>
  </si>
  <si>
    <t>2022-000544</t>
  </si>
  <si>
    <t>2022-000545</t>
  </si>
  <si>
    <t>2022-000546</t>
  </si>
  <si>
    <t>2022-000550</t>
  </si>
  <si>
    <t>2022-000551</t>
  </si>
  <si>
    <t>2022-000552</t>
  </si>
  <si>
    <t>2022-000555</t>
  </si>
  <si>
    <t>2022-000554</t>
  </si>
  <si>
    <t>2022-000570</t>
  </si>
  <si>
    <t>OPTIMAL FITNESS CONDITIONING, INC.</t>
  </si>
  <si>
    <t>2022-000572</t>
  </si>
  <si>
    <t>2022-000573</t>
  </si>
  <si>
    <t>MOCA</t>
  </si>
  <si>
    <t>Servicios de salud mental</t>
  </si>
  <si>
    <t>Venta de alimentos</t>
  </si>
  <si>
    <t>Gimnasio</t>
  </si>
  <si>
    <t>Importancia de proyecto-PDJ</t>
  </si>
  <si>
    <t>Importancia de proyecto-Pymes Capital semilla</t>
  </si>
  <si>
    <t>Maquinaria y Equipo-Pymes CCE</t>
  </si>
  <si>
    <t>Importancia de Proyecto-PDJ</t>
  </si>
  <si>
    <t>FE-2019-2020-0106</t>
  </si>
  <si>
    <t>Importancia de proyecto Ley 60-2019</t>
  </si>
  <si>
    <t>2022-000586</t>
  </si>
  <si>
    <t>2022-000590</t>
  </si>
  <si>
    <t>JOSE G. CRUZ AYALA</t>
  </si>
  <si>
    <t>2022-000597</t>
  </si>
  <si>
    <t>2022-000598</t>
  </si>
  <si>
    <t>2023-000002</t>
  </si>
  <si>
    <t>SONIA I. ROMAN SOLER HNC CLARO CASA</t>
  </si>
  <si>
    <t>2023-000003</t>
  </si>
  <si>
    <t>2023-000004</t>
  </si>
  <si>
    <t>Manufactura de refrigeradores y congeladores comerciales e institucionales de alta eficiencia</t>
  </si>
  <si>
    <t>2023-000022</t>
  </si>
  <si>
    <t>2023-000023</t>
  </si>
  <si>
    <t>2023-000027</t>
  </si>
  <si>
    <t>2023-000028</t>
  </si>
  <si>
    <t>FIE60-2022-2023-0041</t>
  </si>
  <si>
    <t>FIE60-2022-2023-0002</t>
  </si>
  <si>
    <t>FIE60-2022-2023-0003</t>
  </si>
  <si>
    <t>FIE60-2022-2023-0013</t>
  </si>
  <si>
    <t>FIE60-2022-2023-0014</t>
  </si>
  <si>
    <t>FIE60-2022-2023-0015</t>
  </si>
  <si>
    <t>FIE60-2022-2023-0016</t>
  </si>
  <si>
    <t>DORMILON FACTORY AND DISTRIBUTORS LLC</t>
  </si>
  <si>
    <t>FOGEL CARIBBEAN CORPORATION</t>
  </si>
  <si>
    <t>HH DUCTWORK, LLC.</t>
  </si>
  <si>
    <t xml:space="preserve">LMM FOOD GROUP CORP. </t>
  </si>
  <si>
    <t xml:space="preserve">RICARDO ERANS DBA HIDROPÓNICOS ERANS  </t>
  </si>
  <si>
    <t>Variedad de lechugas, entre otros cultivos</t>
  </si>
  <si>
    <t>Fabricación de conductos para sistemas de aire acondicionado, campanas de cocinas comerciales e industrials y equipos de ventilación</t>
  </si>
  <si>
    <t>FIE60-2022-2023-0018</t>
  </si>
  <si>
    <t>FIE60-2022-2023-0022</t>
  </si>
  <si>
    <t>FIE60-2022-2023-0023</t>
  </si>
  <si>
    <t>FIE60-2022-2023-0024</t>
  </si>
  <si>
    <t>VF ALUMINUM CORP.</t>
  </si>
  <si>
    <t>FIE60-2022-2023-0011</t>
  </si>
  <si>
    <t>FIE60-2022-2023-0012</t>
  </si>
  <si>
    <t>FIE60-2022-2023-0021</t>
  </si>
  <si>
    <t>SONIA I. ROMAN H/N/C CLARO CASA METAL</t>
  </si>
  <si>
    <t>SONIA I. ROMAN H/N/C CLARO CASA METAL</t>
  </si>
  <si>
    <t>EMPANADAS ARGENTINAS DÉLPORTENO LLC</t>
  </si>
  <si>
    <t>2021-000265-A</t>
  </si>
  <si>
    <t>2022-000307-A</t>
  </si>
  <si>
    <t>2021-999180-A</t>
  </si>
  <si>
    <t>Collores Water Products LLC</t>
  </si>
  <si>
    <t>2021-999181-A</t>
  </si>
  <si>
    <t>2022-000523</t>
  </si>
  <si>
    <t>MAREPESCA, LLC</t>
  </si>
  <si>
    <t>2022-000595</t>
  </si>
  <si>
    <t>2022-000596</t>
  </si>
  <si>
    <t>2023-000020</t>
  </si>
  <si>
    <t>2023-000035</t>
  </si>
  <si>
    <t>PISHADENT LLC</t>
  </si>
  <si>
    <t>2023-000056</t>
  </si>
  <si>
    <t>2023-000075</t>
  </si>
  <si>
    <t>2023-000076</t>
  </si>
  <si>
    <t>2023-000080</t>
  </si>
  <si>
    <t>2023-000084</t>
  </si>
  <si>
    <t>2023-000096</t>
  </si>
  <si>
    <t>2023-000098</t>
  </si>
  <si>
    <t>2023-000104</t>
  </si>
  <si>
    <t>COMMON SENSE DESIGNS, LLC</t>
  </si>
  <si>
    <t>2023-000110</t>
  </si>
  <si>
    <t>EDGAR E. CRUZ VALLEJO</t>
  </si>
  <si>
    <t>2023-000111</t>
  </si>
  <si>
    <t>ENRIQUE JAVIER BILLOCH FLORES</t>
  </si>
  <si>
    <t>2023-000112</t>
  </si>
  <si>
    <t>GABRIELA DELGADO SANCHEZ</t>
  </si>
  <si>
    <t>JAMES L. CRUZ PEREZ</t>
  </si>
  <si>
    <t>2023-000114</t>
  </si>
  <si>
    <t>JOSE ARTURO MONTALVO RIVERA</t>
  </si>
  <si>
    <t>2023-000115</t>
  </si>
  <si>
    <t>2023-000116</t>
  </si>
  <si>
    <t>2023-000117</t>
  </si>
  <si>
    <t>KRISTAL R. SANCHEZ PEREZ</t>
  </si>
  <si>
    <t>2023-000119</t>
  </si>
  <si>
    <t>MANUEL A. VELEZ SALDANA</t>
  </si>
  <si>
    <t>MARCOS RODRIGUEZ NUNEZ</t>
  </si>
  <si>
    <t>2023-000121</t>
  </si>
  <si>
    <t>2023-000122</t>
  </si>
  <si>
    <t>2023-000123</t>
  </si>
  <si>
    <t>NATALIA A. VALENTIN RIVERA</t>
  </si>
  <si>
    <t>NELSON E. VIVES SILVA</t>
  </si>
  <si>
    <t>NICOLE N. ROMAN CORREA</t>
  </si>
  <si>
    <t>2023-000124</t>
  </si>
  <si>
    <t>PAOLA N. DEL VALLE ARES</t>
  </si>
  <si>
    <t>2023-000125</t>
  </si>
  <si>
    <t>YAMARIE RUIZ SERRANO</t>
  </si>
  <si>
    <t>2023-000128</t>
  </si>
  <si>
    <t>2023-000130</t>
  </si>
  <si>
    <t>FROGLAND STUDIOS, LLC</t>
  </si>
  <si>
    <t>ANA A. QUINTERO SANTIAGO</t>
  </si>
  <si>
    <t>Servicios de salud oral</t>
  </si>
  <si>
    <t>Tienda de artículos de decoración</t>
  </si>
  <si>
    <t>GIOVANNI LA RUSSA JIMENEZ D/B/A TENTACIONES HOME DECOR</t>
  </si>
  <si>
    <t>KAMILA A. LABOY CARRION</t>
  </si>
  <si>
    <t>DAMIAN RAMIREZ HNC HIDROCULTIVOS ALONDRA</t>
  </si>
  <si>
    <t>FIE60-2022-2023-0044</t>
  </si>
  <si>
    <t>FIE60-2022-2023-0045</t>
  </si>
  <si>
    <t>FIE60-2022-2023-0046</t>
  </si>
  <si>
    <t>MISTOLIN CARIBE INC.</t>
  </si>
  <si>
    <t>2020-000147-A</t>
  </si>
  <si>
    <t>2021-000076-A</t>
  </si>
  <si>
    <t>2022-000300-A</t>
  </si>
  <si>
    <t>2022-000452-A</t>
  </si>
  <si>
    <t>2023-000039</t>
  </si>
  <si>
    <t>YADZIA M. AVILES VELEZ</t>
  </si>
  <si>
    <t>2023-000040</t>
  </si>
  <si>
    <t>HAPPY LAND YOGUFRUTI CORP.</t>
  </si>
  <si>
    <t>2023-000043</t>
  </si>
  <si>
    <t>CARIDAD RAMOS VAZQUEZ</t>
  </si>
  <si>
    <t>2023-000046</t>
  </si>
  <si>
    <t>XAVIER MEDINA GONZALEZ</t>
  </si>
  <si>
    <t>2023-000047</t>
  </si>
  <si>
    <t>2023-000048</t>
  </si>
  <si>
    <t>2023-000049</t>
  </si>
  <si>
    <t>MARISOL IRIZARRY BENITEZ</t>
  </si>
  <si>
    <t>2023-000050</t>
  </si>
  <si>
    <t>CARLOS A. VARGAS GONZALEZ</t>
  </si>
  <si>
    <t>2023-000051</t>
  </si>
  <si>
    <t>AMY RODRIGUEZ SUSTACHE</t>
  </si>
  <si>
    <t>2023-000052</t>
  </si>
  <si>
    <t>2023-000053</t>
  </si>
  <si>
    <t>JOSE ANGEL  NEGRON SANTIAGO</t>
  </si>
  <si>
    <t>2023-000141</t>
  </si>
  <si>
    <t>2023-000142</t>
  </si>
  <si>
    <t>2023-000143</t>
  </si>
  <si>
    <t>2023-000144</t>
  </si>
  <si>
    <t>2023-000145</t>
  </si>
  <si>
    <t>2023-000146</t>
  </si>
  <si>
    <t>2023-000147</t>
  </si>
  <si>
    <t>2023-000148</t>
  </si>
  <si>
    <t>2023-000149</t>
  </si>
  <si>
    <t xml:space="preserve">ALEXA PAOLA FIGUEROA </t>
  </si>
  <si>
    <t>ITOS, LLC</t>
  </si>
  <si>
    <t>ANDREA M. AYALA NEGRON</t>
  </si>
  <si>
    <t>ADALBERTO RIVERA SANTIAGO</t>
  </si>
  <si>
    <t>FIE60-2022-2023-0031</t>
  </si>
  <si>
    <t>FIE60-2022-2023-0026</t>
  </si>
  <si>
    <t>FIE60-2022-2023-0049</t>
  </si>
  <si>
    <t>AMERICAN LIGHTWEIGHT MATERIALS MANUFACTURING INNOVATION INSTITUTE (LIFT)</t>
  </si>
  <si>
    <t>Servicios de terapia ocupacional</t>
  </si>
  <si>
    <t>Venta de comida</t>
  </si>
  <si>
    <t>Venta de jugos preparados con frutas naturales</t>
  </si>
  <si>
    <t>Servicios de salón de belleza</t>
  </si>
  <si>
    <t>Venta de helados</t>
  </si>
  <si>
    <t>Venta de café y postres</t>
  </si>
  <si>
    <t>Venta de postres</t>
  </si>
  <si>
    <t>PATILLAS</t>
  </si>
  <si>
    <t>QUEBRADILLAS</t>
  </si>
  <si>
    <t>Ayuda Pymes Huracán Fiona</t>
  </si>
  <si>
    <t>Hidropónicos Ley 60-2019</t>
  </si>
  <si>
    <t>FIE60-2022-2023-0051</t>
  </si>
  <si>
    <t>Incubadora de negocios de empresas incipientes en biotecnología</t>
  </si>
  <si>
    <t>FIE60-2022-2023-0052</t>
  </si>
  <si>
    <t>FIE60-2022-2023-0056</t>
  </si>
  <si>
    <t>FIE60-2022-2023-0057</t>
  </si>
  <si>
    <t>ST. JUDE MEDICAL PUERTO RICO, LLC.</t>
  </si>
  <si>
    <t>BETHEL YUUT LLC.</t>
  </si>
  <si>
    <t>2021-000148</t>
  </si>
  <si>
    <t>HACIENDA RAMIREZ, INC.</t>
  </si>
  <si>
    <t>SAN SEBASTIAN </t>
  </si>
  <si>
    <t>2022-000587-A</t>
  </si>
  <si>
    <t>FIE60-2022-2023-0050</t>
  </si>
  <si>
    <t>2023-000502</t>
  </si>
  <si>
    <t>FIE60-2022-2023-0025</t>
  </si>
  <si>
    <t>ROBERTO MALDONADO RODRIGUEZ</t>
  </si>
  <si>
    <t>WHERE TO GO</t>
  </si>
  <si>
    <t>CHAMPION CORPORATION</t>
  </si>
  <si>
    <t>Restaurante</t>
  </si>
  <si>
    <t>Madera, talla caballito de pica</t>
  </si>
  <si>
    <t>FIE60-2022-2023-0068</t>
  </si>
  <si>
    <t>FIE60-2022-2023-0070</t>
  </si>
  <si>
    <t>FIE60-2022-2023-0075</t>
  </si>
  <si>
    <t>FIE60-2022-2023-0067</t>
  </si>
  <si>
    <t>FIE60-2022-2023-0082</t>
  </si>
  <si>
    <t>FIE60-2022-2023-0083</t>
  </si>
  <si>
    <t>ADVANCE TRUSS PROFESSIONAL GROUP. INC</t>
  </si>
  <si>
    <t xml:space="preserve">HACIENDA MONTE ALTO MGT LLC. </t>
  </si>
  <si>
    <t>RG RECYCLING CORP.</t>
  </si>
  <si>
    <t>FUTURE PRODUCTS, CORP.</t>
  </si>
  <si>
    <t>Productos desechables, tales como vasos y platos, entre otros, sin limitarse a los mismos</t>
  </si>
  <si>
    <t>JENNIFER PAGAN RODRIGUEZ DBA FINCA BUENAVENTURA</t>
  </si>
  <si>
    <t>Lechugas, cilantrillo, ajíes y pimientos</t>
  </si>
  <si>
    <t>PHARMENG TECHNOLOGY AMERICAS LLC.</t>
  </si>
  <si>
    <t>2021-000002-A</t>
  </si>
  <si>
    <t>2021-000328-A</t>
  </si>
  <si>
    <t>2021-000330-A</t>
  </si>
  <si>
    <t>2023-000113-A</t>
  </si>
  <si>
    <t>2023-000120-A</t>
  </si>
  <si>
    <t>2023-000158</t>
  </si>
  <si>
    <t>TCG CREATIVE GROUP LLC</t>
  </si>
  <si>
    <t>2023-000201</t>
  </si>
  <si>
    <t>2023-000355</t>
  </si>
  <si>
    <t>FIE60-2022-2023-0036</t>
  </si>
  <si>
    <t>2023-000837</t>
  </si>
  <si>
    <t>NC QUALITY PARTS, LLC</t>
  </si>
  <si>
    <t>2023-000838</t>
  </si>
  <si>
    <t>2023-000840</t>
  </si>
  <si>
    <t>PYMES Innovadoras Ley 60-2019</t>
  </si>
  <si>
    <t>2023-001523</t>
  </si>
  <si>
    <t>2023-001929</t>
  </si>
  <si>
    <t>2023-001931</t>
  </si>
  <si>
    <t>2023-001932</t>
  </si>
  <si>
    <t xml:space="preserve"> WOMEN IN BUSINESS, INC.</t>
  </si>
  <si>
    <t>FIE60-2022-2023-0084</t>
  </si>
  <si>
    <t>INTECO</t>
  </si>
  <si>
    <t>Reciclaje de papel, plástico, cartón y aluminio</t>
  </si>
  <si>
    <t>BE YOURSELF BEHAVIOR AND PSYCHOLOGICAL SERVICE LLC</t>
  </si>
  <si>
    <t>Desarrollo de web-app</t>
  </si>
  <si>
    <t>2022-000304</t>
  </si>
  <si>
    <t>2023-000203</t>
  </si>
  <si>
    <t>DM FARMS, LLC</t>
  </si>
  <si>
    <t>2023-000225</t>
  </si>
  <si>
    <t>2023-000379</t>
  </si>
  <si>
    <t>2023-000380</t>
  </si>
  <si>
    <t>OLYMPIC PERFORMANCE, LLC</t>
  </si>
  <si>
    <t>2023-001796</t>
  </si>
  <si>
    <t>2023-001797</t>
  </si>
  <si>
    <t>2023-001882</t>
  </si>
  <si>
    <t>FIE60-2022-2023-0032</t>
  </si>
  <si>
    <t>EXPERIMENTO LUDICO LLC</t>
  </si>
  <si>
    <t>2023-001934</t>
  </si>
  <si>
    <t>2023-001935</t>
  </si>
  <si>
    <t>2023-001936</t>
  </si>
  <si>
    <t>Siembra y cultivo de pimientos</t>
  </si>
  <si>
    <t>Artesana en el renglón de yaguas/piedra/coco, estampas típicas pintadas, pajilla, tejido de muebles. Compra de materiales de construcción para el taller.</t>
  </si>
  <si>
    <t>Apoyo empresarial</t>
  </si>
  <si>
    <t>FIE60-2022-2023-0113</t>
  </si>
  <si>
    <t>FIE60-2022-2023-0114</t>
  </si>
  <si>
    <t>Varias</t>
  </si>
  <si>
    <t>Varios</t>
  </si>
  <si>
    <t>Incentivo de Mercadeo Exterior Ley 60-2019</t>
  </si>
  <si>
    <t>FIE60-2022-2023-0138</t>
  </si>
  <si>
    <t>FIE60-2022-2023-0139</t>
  </si>
  <si>
    <t>FIE60-2022-2023-0104</t>
  </si>
  <si>
    <t>FIE60-2022-2023-0105</t>
  </si>
  <si>
    <t>FIE60-2022-2023-0106</t>
  </si>
  <si>
    <t>FIE60-2022-2023-0107</t>
  </si>
  <si>
    <t>FIE60-2022-2023-0108</t>
  </si>
  <si>
    <t>FIE60-2022-2023-0109</t>
  </si>
  <si>
    <t>FIE60-2022-2023-0110</t>
  </si>
  <si>
    <t>FIE60-2022-2023-0111</t>
  </si>
  <si>
    <t>FIE60-2022-2023-0112</t>
  </si>
  <si>
    <t>FLEXIBLE &amp; INTEGRATED TECHNICAL SERVICES INC.</t>
  </si>
  <si>
    <t>FREEWIND ENERGY LLC</t>
  </si>
  <si>
    <t>GLOBAL-TEK MANUFACTURING LLC.</t>
  </si>
  <si>
    <t>FIE60-2022-2023-0115</t>
  </si>
  <si>
    <t>FIE60-2022-2023-0116</t>
  </si>
  <si>
    <t>FIE60-2022-2023-0126</t>
  </si>
  <si>
    <t>FIE60-2022-2023-0127</t>
  </si>
  <si>
    <t>FIE60-2022-2023-0128</t>
  </si>
  <si>
    <t>FIE60-2022-2023-0129</t>
  </si>
  <si>
    <t>HIDRORGANICA, INC.</t>
  </si>
  <si>
    <t>TAI HAI FARM LLC.</t>
  </si>
  <si>
    <t>SCRYER LLC</t>
  </si>
  <si>
    <t>FIE60-2022-2023-0100</t>
  </si>
  <si>
    <t>FIE60-2022-2023-0103</t>
  </si>
  <si>
    <t>FIE60-2022-2023-0132</t>
  </si>
  <si>
    <t>FIE60-2022-2023-0133</t>
  </si>
  <si>
    <t>FIE60-2022-2023-0140</t>
  </si>
  <si>
    <t>FIE60-2022-2023-0141</t>
  </si>
  <si>
    <t>CUSTOM METAL WORKS LLC</t>
  </si>
  <si>
    <t>DUI INCORPORADO D/B/A IMAGEFIRST HEALTHCARE LAUNDRY SPECIALISTS</t>
  </si>
  <si>
    <t>ECHEM MANUFACTURING LLC</t>
  </si>
  <si>
    <t>RPS MEDICAL SERVICE CORP.</t>
  </si>
  <si>
    <t>ENTERPRIZE EVENTS, INC (GUAYACAN)</t>
  </si>
  <si>
    <t xml:space="preserve">DI AMALFI PR LLC. </t>
  </si>
  <si>
    <t>Programas de educación y desarrollo empresarial</t>
  </si>
  <si>
    <t>2020-000253-A</t>
  </si>
  <si>
    <t>2023-001570</t>
  </si>
  <si>
    <t>2023-001571</t>
  </si>
  <si>
    <t>2023-001572</t>
  </si>
  <si>
    <t>2023-001574</t>
  </si>
  <si>
    <t>2023-001575</t>
  </si>
  <si>
    <t>FIE60-2022-2023-0033</t>
  </si>
  <si>
    <t>FIE60-2022-2023-0061</t>
  </si>
  <si>
    <t>2023-001912</t>
  </si>
  <si>
    <t>2023-001913</t>
  </si>
  <si>
    <t>2023-001914</t>
  </si>
  <si>
    <t>2023-001916</t>
  </si>
  <si>
    <t>2023-001917</t>
  </si>
  <si>
    <t>ROBERTO DEL VALLE CARDONA</t>
  </si>
  <si>
    <t>2023-001918</t>
  </si>
  <si>
    <t>2023-001938</t>
  </si>
  <si>
    <t>2023-001939</t>
  </si>
  <si>
    <t>2023-001960</t>
  </si>
  <si>
    <t>KARLA MICHELLE PINEIRO LEON</t>
  </si>
  <si>
    <t>2023-001961</t>
  </si>
  <si>
    <t>P R MANUFACTURING EXTENSION, INC</t>
  </si>
  <si>
    <t>Diseña, fabrica e instala sistemas flexibles de generación y almacenamiento de energía eólica</t>
  </si>
  <si>
    <t>Procesamiento de carne</t>
  </si>
  <si>
    <t>Prótesis, ortesis y accesorios relacionados</t>
  </si>
  <si>
    <t>Elaboración de pasta fresca artesanal</t>
  </si>
  <si>
    <t>Barro (cerámica)</t>
  </si>
  <si>
    <t>FIE60-2022-2023-0152</t>
  </si>
  <si>
    <t>FIE60-2022-2023-0145</t>
  </si>
  <si>
    <t>FIE60-2022-2023-0146</t>
  </si>
  <si>
    <t>FIE60-2022-2023-0147</t>
  </si>
  <si>
    <t>FIE60-2022-2023-0166</t>
  </si>
  <si>
    <t>FIE60-2022-2023-0167</t>
  </si>
  <si>
    <t>FIE60-2022-2023-0164</t>
  </si>
  <si>
    <t>KC &amp; MORE LLC</t>
  </si>
  <si>
    <t>SABROSURAS, LLC</t>
  </si>
  <si>
    <t>MIRAMAR BREWING LLC</t>
  </si>
  <si>
    <t>J. GUERRA TURBO SHOP, INC.</t>
  </si>
  <si>
    <t>PONCE </t>
  </si>
  <si>
    <t>2022-000432-A</t>
  </si>
  <si>
    <t>2022-000567</t>
  </si>
  <si>
    <t>ELITEBCO LLC</t>
  </si>
  <si>
    <t>2022-000576</t>
  </si>
  <si>
    <t>2023-001921</t>
  </si>
  <si>
    <t>BLESSINGS CAFE</t>
  </si>
  <si>
    <t>2023-001922</t>
  </si>
  <si>
    <t>ZULLIRMA MENDEZ HERNANDEZ</t>
  </si>
  <si>
    <t>2023-001923</t>
  </si>
  <si>
    <t>GILBERTO MALDONADO DELGADO</t>
  </si>
  <si>
    <t>2023-001924</t>
  </si>
  <si>
    <t>2023-001968</t>
  </si>
  <si>
    <t xml:space="preserve">ALEX MEDINA BONILLA DBA LA GUARAPERA </t>
  </si>
  <si>
    <t>2023-001969</t>
  </si>
  <si>
    <t>2023-001970</t>
  </si>
  <si>
    <t>CARLOS RODRIGUEZ GONZALEZ</t>
  </si>
  <si>
    <t>2023-001971</t>
  </si>
  <si>
    <t>PONCE WATER ATTRACTIONS LLC</t>
  </si>
  <si>
    <t>2023-001972</t>
  </si>
  <si>
    <t>O &amp; G BLESS VISION LLC</t>
  </si>
  <si>
    <t>2023-001973</t>
  </si>
  <si>
    <t>HS AMBULANCE SERVICES, LLC</t>
  </si>
  <si>
    <t>2023-001974</t>
  </si>
  <si>
    <t>2023-001975</t>
  </si>
  <si>
    <t>JESSENIA MOUX MORALES</t>
  </si>
  <si>
    <t>2023-001976</t>
  </si>
  <si>
    <t>COLON ALVAREZ CPA LLC</t>
  </si>
  <si>
    <t>2023-001977</t>
  </si>
  <si>
    <t>ESTRONZA ACCOUNTING SERVICE</t>
  </si>
  <si>
    <t>2023-001979</t>
  </si>
  <si>
    <t>LA TORTUGA BISTRO BAR LLC</t>
  </si>
  <si>
    <t>2023-001982</t>
  </si>
  <si>
    <t>WILSON ACEVEDO SALAS</t>
  </si>
  <si>
    <t>FIE60-2022-2023-0037</t>
  </si>
  <si>
    <t>2023-001990</t>
  </si>
  <si>
    <t>2023-001992</t>
  </si>
  <si>
    <t>CUKIDOU LLC</t>
  </si>
  <si>
    <t>2023-001993</t>
  </si>
  <si>
    <t>JOEL GONZALEZ RIVERA DBA TRAE PAN</t>
  </si>
  <si>
    <t>2023-001998</t>
  </si>
  <si>
    <t>BISTRO DELMAR, LLC</t>
  </si>
  <si>
    <t>2023-001999</t>
  </si>
  <si>
    <t>2023-002006</t>
  </si>
  <si>
    <t>2023-002007</t>
  </si>
  <si>
    <t>TERRAFIRMA, LLC</t>
  </si>
  <si>
    <t>2023-002011</t>
  </si>
  <si>
    <t>MILDRED R. RIVERA SANTIAGO</t>
  </si>
  <si>
    <t>2023-002013</t>
  </si>
  <si>
    <t>PEDRO J. LUCENA ORTIZ</t>
  </si>
  <si>
    <t>2023-002015</t>
  </si>
  <si>
    <t>MUNICIPIO DE QUEBRADILLAS</t>
  </si>
  <si>
    <t>2023-002016</t>
  </si>
  <si>
    <t>Venta de perfumes y accesorios</t>
  </si>
  <si>
    <t>Venta de jugos derivados del guarapo</t>
  </si>
  <si>
    <t>Servicios de belleza y estética</t>
  </si>
  <si>
    <t>Consultoría y servicios de contabilidad</t>
  </si>
  <si>
    <t>Puesto de gasolina con colmado y gomera</t>
  </si>
  <si>
    <t>Panadería</t>
  </si>
  <si>
    <t>Aceites (jabón saponificado)</t>
  </si>
  <si>
    <t>Foodtruck</t>
  </si>
  <si>
    <t>Optimizar salón de tecnología para estudiantes</t>
  </si>
  <si>
    <t>Desarrollo de soluciones digitales para pronosticar riesgo ambiental</t>
  </si>
  <si>
    <t>GERSON ALVARADO FERNANDEZ</t>
  </si>
  <si>
    <t>Importancia de proyecto-CRECE: Apoyo Pymes y Capital semilla</t>
  </si>
  <si>
    <t>Acuerdo colaborativo</t>
  </si>
  <si>
    <t>FIE60-2022-2023-0168</t>
  </si>
  <si>
    <t>FIE60-2022-2023-0169</t>
  </si>
  <si>
    <t>EMMCO, LLC</t>
  </si>
  <si>
    <t>FIE60-2022-2023-0170</t>
  </si>
  <si>
    <t>FIE60-2022-2023-0171</t>
  </si>
  <si>
    <t>FIE60-2022-2023-0172</t>
  </si>
  <si>
    <t>PRODUCTOS EL ÑAMERO, LLC</t>
  </si>
  <si>
    <t>FIE60-2022-2023-0177</t>
  </si>
  <si>
    <t>FIE60-2022-2023-0178</t>
  </si>
  <si>
    <t>CUTTING EDGE SUPERCONDUCTORS INC.</t>
  </si>
  <si>
    <t>2020-000304-A</t>
  </si>
  <si>
    <t>2023-000078-A</t>
  </si>
  <si>
    <t>2023-002009</t>
  </si>
  <si>
    <t>FINCA LA MEVA TERRA CORP.</t>
  </si>
  <si>
    <t>ORAGRO, LLC</t>
  </si>
  <si>
    <t>2023-002018</t>
  </si>
  <si>
    <t>2023-002019</t>
  </si>
  <si>
    <t>2023-002020</t>
  </si>
  <si>
    <t>2023-002021</t>
  </si>
  <si>
    <t>2023-002022</t>
  </si>
  <si>
    <t>2023-002023</t>
  </si>
  <si>
    <t>2023-002026</t>
  </si>
  <si>
    <t>2023-002027</t>
  </si>
  <si>
    <t>2023-002028</t>
  </si>
  <si>
    <t>2023-002039</t>
  </si>
  <si>
    <t>2023-002040</t>
  </si>
  <si>
    <t>2023-002043</t>
  </si>
  <si>
    <t>2023-002044</t>
  </si>
  <si>
    <t>2023-002046</t>
  </si>
  <si>
    <t>2023-002054</t>
  </si>
  <si>
    <t>Espinacas</t>
  </si>
  <si>
    <t>IMPACTIVO LLC</t>
  </si>
  <si>
    <t>2023</t>
  </si>
  <si>
    <t>2019-000225-D</t>
  </si>
  <si>
    <t>2022-000410-A</t>
  </si>
  <si>
    <t>CASA PEPINIANA DE LA CULTURA, INC.</t>
  </si>
  <si>
    <t>2023-000064</t>
  </si>
  <si>
    <t>2023-000065</t>
  </si>
  <si>
    <t>2023-001573</t>
  </si>
  <si>
    <t>2023-002053</t>
  </si>
  <si>
    <t>LOCAL TOURIST LLC</t>
  </si>
  <si>
    <t>2023-002055</t>
  </si>
  <si>
    <t>2023-002057</t>
  </si>
  <si>
    <t>2023-002060</t>
  </si>
  <si>
    <t>IVETTE SANTIAGO NEGRON</t>
  </si>
  <si>
    <t>LYMARYS TORRES RIVERA</t>
  </si>
  <si>
    <t>2023-002066</t>
  </si>
  <si>
    <t>MICHELLE ALBINO GONZALEZ</t>
  </si>
  <si>
    <t>MARIA A. MENDEZ SISCO</t>
  </si>
  <si>
    <t>MUNICIPIO DE UTUADO</t>
  </si>
  <si>
    <t>2023-002073</t>
  </si>
  <si>
    <t>ISABEL QUINONES MARTIN</t>
  </si>
  <si>
    <t>2023-002092</t>
  </si>
  <si>
    <t>QUIBBLE RM, LLC</t>
  </si>
  <si>
    <t>2023-002093</t>
  </si>
  <si>
    <t>JOELY E. RENTAS RIVERA</t>
  </si>
  <si>
    <t>2023-002094</t>
  </si>
  <si>
    <t>2023-002095</t>
  </si>
  <si>
    <t>RICURA CARIBENA</t>
  </si>
  <si>
    <t>2023-002096</t>
  </si>
  <si>
    <t>CEVICHERIA 646 LLC</t>
  </si>
  <si>
    <t>2023-002097</t>
  </si>
  <si>
    <t xml:space="preserve">HARRY MARTINEZ ORTIZ </t>
  </si>
  <si>
    <t>2023-002098</t>
  </si>
  <si>
    <t>NEUROPATHWAYS LLC</t>
  </si>
  <si>
    <t>2023-002099</t>
  </si>
  <si>
    <t>PERFECT SKIN AND BODY SPA</t>
  </si>
  <si>
    <t>2023-002100</t>
  </si>
  <si>
    <t>COOPERATIVA MULTI SERVICES</t>
  </si>
  <si>
    <t>2023-002101</t>
  </si>
  <si>
    <t>LUXURY SEA TOYS PR LLC</t>
  </si>
  <si>
    <t>2023-002106</t>
  </si>
  <si>
    <t>2023-002107</t>
  </si>
  <si>
    <t>2023-002111</t>
  </si>
  <si>
    <t>2023-002123</t>
  </si>
  <si>
    <t xml:space="preserve">EMPRESAS PPC </t>
  </si>
  <si>
    <t>2023-002124</t>
  </si>
  <si>
    <t>THAIMY M. MEDINA RODRIGUEZ</t>
  </si>
  <si>
    <t>2023-002125</t>
  </si>
  <si>
    <t>Y&amp;M LLC - WINGS AND FRIES MOROVIS</t>
  </si>
  <si>
    <t>2023-002126</t>
  </si>
  <si>
    <t>ALICE M. RIVERA D/BA/ KHLOE ESTHETIC</t>
  </si>
  <si>
    <t>2023-002127</t>
  </si>
  <si>
    <t>BEAUTY LAB BY MISS CABASSA LLC</t>
  </si>
  <si>
    <t>2023-002129</t>
  </si>
  <si>
    <t>2023-002130</t>
  </si>
  <si>
    <t>2023-002132</t>
  </si>
  <si>
    <t>2023-002133</t>
  </si>
  <si>
    <t>2023-002136</t>
  </si>
  <si>
    <t>2023-002137</t>
  </si>
  <si>
    <t>2023-002138</t>
  </si>
  <si>
    <t>2023-002139</t>
  </si>
  <si>
    <t>2023-002141</t>
  </si>
  <si>
    <t>2023-002144</t>
  </si>
  <si>
    <t>2023-002146</t>
  </si>
  <si>
    <t>2023-002149</t>
  </si>
  <si>
    <t>SUR180 THERAPEUTICS, INC.</t>
  </si>
  <si>
    <t>LOIZA</t>
  </si>
  <si>
    <t>MICHAEL FORESTIER FIGUEROA DBA MF GAMES CAFÉ</t>
  </si>
  <si>
    <t>Cafetería</t>
  </si>
  <si>
    <t>Servicios de estética</t>
  </si>
  <si>
    <t>FIE60-2022-2023-0207</t>
  </si>
  <si>
    <t>FIE60-2022-2023-0208</t>
  </si>
  <si>
    <t>FIE60-2022-2023-0209</t>
  </si>
  <si>
    <t>FIE60-2022-2023-0210</t>
  </si>
  <si>
    <t xml:space="preserve">JA OIL RECYCLING CORP </t>
  </si>
  <si>
    <t>LA PALETERIA LLC</t>
  </si>
  <si>
    <t>SYRVIATEK CORP</t>
  </si>
  <si>
    <t>Transferencia de Tecnología Ley 60-2019</t>
  </si>
  <si>
    <t>FIE60-2022-2023-0188</t>
  </si>
  <si>
    <t>FIE60-2022-2023-0189</t>
  </si>
  <si>
    <t>ISLA BORINQUEN LLC</t>
  </si>
  <si>
    <t>FIE60-2022-2023-0196</t>
  </si>
  <si>
    <t>FIE60-2022-2023-0197</t>
  </si>
  <si>
    <t>FIE60-2022-2023-0198</t>
  </si>
  <si>
    <t>FIE60-2022-2023-0199</t>
  </si>
  <si>
    <t>PJ ROSALY LLC</t>
  </si>
  <si>
    <t>CRIOLITE CORP</t>
  </si>
  <si>
    <t>PURA VIDA BREWERY LLC</t>
  </si>
  <si>
    <t xml:space="preserve">AIAC INTERNATIONAL PHARMA, LLC (AVARA PHARMACEUTICAL SERVICES) </t>
  </si>
  <si>
    <t>2021-000192-C</t>
  </si>
  <si>
    <t>2023-002142</t>
  </si>
  <si>
    <t>FIE60-2022-2023-0039</t>
  </si>
  <si>
    <t>2023-002153</t>
  </si>
  <si>
    <t>JI COMMUNICATIONS LLC</t>
  </si>
  <si>
    <t>JASMINE RIVERA TORRES</t>
  </si>
  <si>
    <t>2023-002160</t>
  </si>
  <si>
    <t>2023-002170</t>
  </si>
  <si>
    <t>2023-002171</t>
  </si>
  <si>
    <t>2023-002172</t>
  </si>
  <si>
    <t>2023-002173</t>
  </si>
  <si>
    <t>FIE60-2022-2023-0038</t>
  </si>
  <si>
    <t>Incentivo de Transporte Marítimo Ley 60-2019</t>
  </si>
  <si>
    <t>2023-002176</t>
  </si>
  <si>
    <t>2023-002177</t>
  </si>
  <si>
    <t>2023-002178</t>
  </si>
  <si>
    <t>2023-002187</t>
  </si>
  <si>
    <t>2023-002206</t>
  </si>
  <si>
    <t>GERARDO M. HERNANDEZ GUZMAN</t>
  </si>
  <si>
    <t>2023-002220</t>
  </si>
  <si>
    <t>2023-002221</t>
  </si>
  <si>
    <t>2023-002222</t>
  </si>
  <si>
    <t>2023-002229</t>
  </si>
  <si>
    <t>2023-002230</t>
  </si>
  <si>
    <t>2023-002231</t>
  </si>
  <si>
    <t>Reciclaje de residuos de aceite vegetal y otros, sin limitarse a los mismos</t>
  </si>
  <si>
    <t>Drogas y preparación farmacéutica</t>
  </si>
  <si>
    <t>Reparacion y mantenimiento de barcos y yates</t>
  </si>
  <si>
    <t>Manufactura de drogas y preparaciones farmacéuticas</t>
  </si>
  <si>
    <t>Manufactura a escala comercial de jugos de frutas</t>
  </si>
  <si>
    <t>Desarrollo de eventos empresariales y educativos, aplicación móvil</t>
  </si>
  <si>
    <t>Renglón de cuero</t>
  </si>
  <si>
    <t>Renglón de cigarros</t>
  </si>
  <si>
    <t>Renglón de madera (instrumentos musicales y torno)</t>
  </si>
  <si>
    <t>FIE60-2022-2023-0227</t>
  </si>
  <si>
    <t>FIE60-2022-2023-0228</t>
  </si>
  <si>
    <t>FIE60-2022-2023-0229</t>
  </si>
  <si>
    <t>WAVE RANCH MANUFACTURING LLC.</t>
  </si>
  <si>
    <t>FIE60-2022-2023-0232</t>
  </si>
  <si>
    <t>FIE60-2022-2023-0233</t>
  </si>
  <si>
    <t>FIE60-2022-2023-0236</t>
  </si>
  <si>
    <t>FIE60-2022-2023-0238</t>
  </si>
  <si>
    <t>CENTURY PACKING, CORP.</t>
  </si>
  <si>
    <t>PAN PEPIN, INC</t>
  </si>
  <si>
    <t>TOWER WINDOWS LLC</t>
  </si>
  <si>
    <t>FINCA DOS HERMANAS LLC</t>
  </si>
  <si>
    <t>PUERTO PAN INC.</t>
  </si>
  <si>
    <t>MONTADERO INC.</t>
  </si>
  <si>
    <t>2023-000153-A</t>
  </si>
  <si>
    <t>2023-002234</t>
  </si>
  <si>
    <t>ABBYS PIZZA AND DELIVERY CORP.</t>
  </si>
  <si>
    <t>2023-002236</t>
  </si>
  <si>
    <t>ARR CONSTRUCTION &amp; ENGINEERING LLC</t>
  </si>
  <si>
    <t>2023-002238</t>
  </si>
  <si>
    <t>JONATHAN CRESPO CAMACHO</t>
  </si>
  <si>
    <t>2023-002239</t>
  </si>
  <si>
    <t>CPA RAMON TRABAL RIOS &amp; ASSOC LLC</t>
  </si>
  <si>
    <t>2023-002240</t>
  </si>
  <si>
    <t>CYCLONE GROUP CONTRACTORS LLC</t>
  </si>
  <si>
    <t>2023-002241</t>
  </si>
  <si>
    <t>ESTUDIO LEGAL ENLACE LLC</t>
  </si>
  <si>
    <t>2023-002242</t>
  </si>
  <si>
    <t>FAMAWORKS LLC</t>
  </si>
  <si>
    <t>2023-002243</t>
  </si>
  <si>
    <t>KOKE ANN GARDENS LLC</t>
  </si>
  <si>
    <t>2023-002244</t>
  </si>
  <si>
    <t>2023-002246</t>
  </si>
  <si>
    <t>LUIS E. RODRIGUEZ POMALES</t>
  </si>
  <si>
    <t>2023-002247</t>
  </si>
  <si>
    <t>OTAOLA DISTRIBUTORS LLC</t>
  </si>
  <si>
    <t>2023-002248</t>
  </si>
  <si>
    <t>MF TRADING LLC.</t>
  </si>
  <si>
    <t>2023-002250</t>
  </si>
  <si>
    <t>PR PRODUCTS AND SERVICES CORP.</t>
  </si>
  <si>
    <t>2023-002251</t>
  </si>
  <si>
    <t>RIVERO CONSTRUCTION CORPORATION</t>
  </si>
  <si>
    <t>2023-002253</t>
  </si>
  <si>
    <t>SLOCUM VENTURES LLC</t>
  </si>
  <si>
    <t>2023-002254</t>
  </si>
  <si>
    <t>THE TREEHOUSE CHILD DEVELOPMENT</t>
  </si>
  <si>
    <t>2023-002255</t>
  </si>
  <si>
    <t>4X4 PUERTO RICO CORP.</t>
  </si>
  <si>
    <t>2023-002256</t>
  </si>
  <si>
    <t>JOSE A. MONTALVO RIVERA</t>
  </si>
  <si>
    <t>2023-002257</t>
  </si>
  <si>
    <t>FRANCISCO FARRARO SANTIAGO</t>
  </si>
  <si>
    <t>2023-002258</t>
  </si>
  <si>
    <t>FILOMENA CARNITAS INC</t>
  </si>
  <si>
    <t>2023-002259</t>
  </si>
  <si>
    <t>NECTAR ACAI AND LUNCH</t>
  </si>
  <si>
    <t>2023-002260</t>
  </si>
  <si>
    <t>FELIX BARBOSA ENTERPRISES LLC</t>
  </si>
  <si>
    <t>2023-002262</t>
  </si>
  <si>
    <t>GF HEALTHY FAST FOOD LLC</t>
  </si>
  <si>
    <t>2023-002263</t>
  </si>
  <si>
    <t>KSTYLE BOUTIQUE, INC.</t>
  </si>
  <si>
    <t>2023-002264</t>
  </si>
  <si>
    <t>CHESS ADVERTISING GROUP</t>
  </si>
  <si>
    <t>2023-002265</t>
  </si>
  <si>
    <t>713 PRECAST LLC</t>
  </si>
  <si>
    <t>2023-002266</t>
  </si>
  <si>
    <t>IRC EMBROIDERY</t>
  </si>
  <si>
    <t>2023-002267</t>
  </si>
  <si>
    <t>RADIADORES Y GOMERA HICO LLC</t>
  </si>
  <si>
    <t>2023-002268</t>
  </si>
  <si>
    <t>ROSARIO ALMA, LLC</t>
  </si>
  <si>
    <t>2023-002270</t>
  </si>
  <si>
    <t>GOMERA RIVERA</t>
  </si>
  <si>
    <t>FIE60-2022-2023-0195</t>
  </si>
  <si>
    <t>2023-002301</t>
  </si>
  <si>
    <t>2023-002302</t>
  </si>
  <si>
    <t>2023-002303</t>
  </si>
  <si>
    <t>2023-002304</t>
  </si>
  <si>
    <t>2023-002307</t>
  </si>
  <si>
    <t>ACADEMIA NUESTRA SENORA DE FATIMA, INC.</t>
  </si>
  <si>
    <t>2023-002334</t>
  </si>
  <si>
    <t>2023-002335</t>
  </si>
  <si>
    <t>2023-002337</t>
  </si>
  <si>
    <t>AUTOPAK ENGINEERING CORP.</t>
  </si>
  <si>
    <t>FIE60-2022-2023-0213</t>
  </si>
  <si>
    <t>2023-002338</t>
  </si>
  <si>
    <t>MASTER METAL FABRICATORS CORP.</t>
  </si>
  <si>
    <t>FIE60-2022-2023-0027</t>
  </si>
  <si>
    <t>Manufactura de camisas y pantalones</t>
  </si>
  <si>
    <t>FIE60-2022-2023-0034</t>
  </si>
  <si>
    <t xml:space="preserve">Importancia de proyecto - PROMOEXPORT </t>
  </si>
  <si>
    <t>Bebidas y Alimentos</t>
  </si>
  <si>
    <t>Comercio al detal</t>
  </si>
  <si>
    <t>L AND L RIVERA CORP.</t>
  </si>
  <si>
    <t>Turismo</t>
  </si>
  <si>
    <t>Manufactura de maquinaria robótica</t>
  </si>
  <si>
    <t>FIE60-2023-2024-0004</t>
  </si>
  <si>
    <t>FIE60-2023-2024-0005</t>
  </si>
  <si>
    <t>FIE60-2023-2024-0006</t>
  </si>
  <si>
    <t>FIE60-2022-2023-0243</t>
  </si>
  <si>
    <t>FIE60-2022-2023-0244</t>
  </si>
  <si>
    <t>FIE60-2022-2023-0245</t>
  </si>
  <si>
    <t>CERVECERA DE PUERTO RICO, INC.</t>
  </si>
  <si>
    <t>FIE60-2023-2024-0007</t>
  </si>
  <si>
    <t>FIE60-2023-2024-0008</t>
  </si>
  <si>
    <t>FIE60-2023-2024-0009</t>
  </si>
  <si>
    <t>FIE60-2023-2024-0010</t>
  </si>
  <si>
    <t>FIE60-2023-2024-0012</t>
  </si>
  <si>
    <t>FIE60-2023-2024-0013</t>
  </si>
  <si>
    <t>FIE60-2023-2024-0014</t>
  </si>
  <si>
    <t>FIE60-2023-2024-0024</t>
  </si>
  <si>
    <t>FIE60-2023-2024-0030</t>
  </si>
  <si>
    <t>FIE60-2023-2024-0031</t>
  </si>
  <si>
    <t>FIE60-2023-2024-0032</t>
  </si>
  <si>
    <t>FIE60-2023-2024-0033</t>
  </si>
  <si>
    <t>FIE60-2023-2024-0034</t>
  </si>
  <si>
    <t>FIE60-2023-2024-0035</t>
  </si>
  <si>
    <t>FIE60-2023-2024-0036</t>
  </si>
  <si>
    <t>FIE60-2023-2024-0037</t>
  </si>
  <si>
    <t>PROFESSIONAL GRAPHICS, INC.</t>
  </si>
  <si>
    <t>FIE60-2023-2024-0020</t>
  </si>
  <si>
    <t>FIE60-2023-2024-0021</t>
  </si>
  <si>
    <t>FIE60-2023-2024-0022</t>
  </si>
  <si>
    <t>FIE60-2023-2024-0023</t>
  </si>
  <si>
    <t>PRODUCTOS LA FINCA INC.</t>
  </si>
  <si>
    <t>FIE60-2023-2024-0028</t>
  </si>
  <si>
    <t>FIE60-2023-2024-0029</t>
  </si>
  <si>
    <t>2023-002071-A</t>
  </si>
  <si>
    <t>2023-002072-A</t>
  </si>
  <si>
    <t>2023-002186</t>
  </si>
  <si>
    <t>TUTO EDU LLC</t>
  </si>
  <si>
    <t>2023-002189-A</t>
  </si>
  <si>
    <t>2023-002306</t>
  </si>
  <si>
    <t>2023-002328</t>
  </si>
  <si>
    <t>LULE, CORP.</t>
  </si>
  <si>
    <t>2023-002329</t>
  </si>
  <si>
    <t>H. CALERO CONSULTING GROUP, INC.</t>
  </si>
  <si>
    <t>PUBLICIDAD TERE SUAREZ LLC</t>
  </si>
  <si>
    <t>ANGEL L. LOPEZ DIAZ</t>
  </si>
  <si>
    <t>2023-002375</t>
  </si>
  <si>
    <t>2023-002378</t>
  </si>
  <si>
    <t>2023-002379</t>
  </si>
  <si>
    <t>2023-002381</t>
  </si>
  <si>
    <t>2023-002406</t>
  </si>
  <si>
    <t>AWARE, LLC</t>
  </si>
  <si>
    <t>2023-002407</t>
  </si>
  <si>
    <t>2023-002409</t>
  </si>
  <si>
    <t>2023-002411</t>
  </si>
  <si>
    <t>2023-002412</t>
  </si>
  <si>
    <t>2023-002413</t>
  </si>
  <si>
    <t>2023-002414</t>
  </si>
  <si>
    <t>2023-002415</t>
  </si>
  <si>
    <t>FIE60-2022-2023-0028</t>
  </si>
  <si>
    <t>2023-002433</t>
  </si>
  <si>
    <t>2023-002434</t>
  </si>
  <si>
    <t>2023-002436</t>
  </si>
  <si>
    <t>MUNICIPIO DE OROCOVIS</t>
  </si>
  <si>
    <t>2023-002474</t>
  </si>
  <si>
    <t>2023-002475</t>
  </si>
  <si>
    <t>2023-002476</t>
  </si>
  <si>
    <t>2023-002478</t>
  </si>
  <si>
    <t>2023-002485</t>
  </si>
  <si>
    <t>2023-002486</t>
  </si>
  <si>
    <t>2023-002487</t>
  </si>
  <si>
    <t>2023-002494</t>
  </si>
  <si>
    <t>SIMMPLE MACHINES, LLC</t>
  </si>
  <si>
    <t>2024-000032</t>
  </si>
  <si>
    <t>MUNICIPIO DE BARRANQUITAS</t>
  </si>
  <si>
    <t>FIE60-2023-2024-0016</t>
  </si>
  <si>
    <t>FIE60-2023-2024-0017</t>
  </si>
  <si>
    <t>2024-000033</t>
  </si>
  <si>
    <t>2024-000034</t>
  </si>
  <si>
    <t>Plataforma digital en la que se ofrecen servicios de tutorías o asesoría en línea a personas de todas las edades escolares o adultos</t>
  </si>
  <si>
    <t>Reparación autos</t>
  </si>
  <si>
    <t>Consultoría</t>
  </si>
  <si>
    <t>CASA CULTURAL AFRO-CARIBEÑA CENTRO YUIZA MUSEO COMUNITARIO INC</t>
  </si>
  <si>
    <t>JOSE A. CANDELARIA CASAÑAS</t>
  </si>
  <si>
    <t>Renglón de maderas</t>
  </si>
  <si>
    <t>COOPERVISION MANUFACTURING PUERTO RICO LLC</t>
  </si>
  <si>
    <t>FIE60-2023-2024-0056</t>
  </si>
  <si>
    <t>FIE60-2022-2023-0246</t>
  </si>
  <si>
    <t>FIE60-2023-2024-0041</t>
  </si>
  <si>
    <t xml:space="preserve">TECHNIPAK INTERNATIONAL CORPORATION </t>
  </si>
  <si>
    <t>UNIVERSIDAD INTERAMERICANA DE PUERTO RICO - SBTDC</t>
  </si>
  <si>
    <t>2021-000051-A</t>
  </si>
  <si>
    <t>2021-000052-A</t>
  </si>
  <si>
    <t>2022-000420-B</t>
  </si>
  <si>
    <t>2023-001568-A</t>
  </si>
  <si>
    <t>2023-001978</t>
  </si>
  <si>
    <t>YOU AND ME DEVELOPMENT CENTER</t>
  </si>
  <si>
    <t>2023-002014</t>
  </si>
  <si>
    <t>CARLOS VELAZQUEZ PACHECO</t>
  </si>
  <si>
    <t>2023-002061-A</t>
  </si>
  <si>
    <t>2023-002102</t>
  </si>
  <si>
    <t>ACADEMIA DE ARTES MAT, INC.</t>
  </si>
  <si>
    <t>2023-002103</t>
  </si>
  <si>
    <t>GUANICA'S ICE PLANT, LLC</t>
  </si>
  <si>
    <t>2023-002184</t>
  </si>
  <si>
    <t>NB ACCOUNTING AND BUSINESS SERVICES</t>
  </si>
  <si>
    <t>2023-002185</t>
  </si>
  <si>
    <t>UPR - RECINTO DE BAYAMON</t>
  </si>
  <si>
    <t>2023-002197-A</t>
  </si>
  <si>
    <t>2023-002199</t>
  </si>
  <si>
    <t>2023-002200</t>
  </si>
  <si>
    <t>AGROEMPRESAS SAN RAFAEL, INC.</t>
  </si>
  <si>
    <t>2023-002315</t>
  </si>
  <si>
    <t>2023-002332</t>
  </si>
  <si>
    <t>E-CYCLING PUERTO RICO, INC.</t>
  </si>
  <si>
    <t>2023-002340-A</t>
  </si>
  <si>
    <t>2023-002344</t>
  </si>
  <si>
    <t>CASA VIEJA INC</t>
  </si>
  <si>
    <t>2023-002349</t>
  </si>
  <si>
    <t xml:space="preserve">PIZZALATO LLC </t>
  </si>
  <si>
    <t>2023-002356</t>
  </si>
  <si>
    <t xml:space="preserve">PUERTO RICO EAST GOKARTS INC </t>
  </si>
  <si>
    <t>2023-002358</t>
  </si>
  <si>
    <t>PICORETO THERAPY GROUP LLC</t>
  </si>
  <si>
    <t>2023-002368</t>
  </si>
  <si>
    <t>2023-002369</t>
  </si>
  <si>
    <t>2023-002370</t>
  </si>
  <si>
    <t>2023-002384</t>
  </si>
  <si>
    <t>DREAM BOX  INC.</t>
  </si>
  <si>
    <t>2023-002386</t>
  </si>
  <si>
    <t xml:space="preserve">TOQUE DI LEÑA CORP </t>
  </si>
  <si>
    <t>2023-002387</t>
  </si>
  <si>
    <t xml:space="preserve">LA CASA DEL EBANISTA LLC </t>
  </si>
  <si>
    <t>2023-002389</t>
  </si>
  <si>
    <t>CARIBBEAN OPTOMETRICS, INC.</t>
  </si>
  <si>
    <t>2023-002391</t>
  </si>
  <si>
    <t xml:space="preserve">VGF PROPERTIES INC </t>
  </si>
  <si>
    <t>2023-002392</t>
  </si>
  <si>
    <t xml:space="preserve">CHARLIE PEREZ RODRIGUEZ </t>
  </si>
  <si>
    <t>2023-002393</t>
  </si>
  <si>
    <t>FRESCURA, LLC</t>
  </si>
  <si>
    <t>2023-002394</t>
  </si>
  <si>
    <t xml:space="preserve">AR SALES &amp; SERVICES INC </t>
  </si>
  <si>
    <t>2023-002395</t>
  </si>
  <si>
    <t>E AND  F DEVELOPMENT INC.</t>
  </si>
  <si>
    <t>2023-002396</t>
  </si>
  <si>
    <t xml:space="preserve">DEBORAH L. SIERRA DE PABLO </t>
  </si>
  <si>
    <t>2023-002397</t>
  </si>
  <si>
    <t>FNJCC CORPORATION</t>
  </si>
  <si>
    <t>2023-002399</t>
  </si>
  <si>
    <t>SENSORY CENTRO DE DESARROLLO, LLC</t>
  </si>
  <si>
    <t>2023-002400</t>
  </si>
  <si>
    <t>QUICK JEWELRY &amp; MORE, INC.</t>
  </si>
  <si>
    <t>2023-002401</t>
  </si>
  <si>
    <t>OMAR SOTO MENDEZ</t>
  </si>
  <si>
    <t>2023-002402</t>
  </si>
  <si>
    <t>ANAIS M. PEREZ FERNANDEZ</t>
  </si>
  <si>
    <t>2023-002432</t>
  </si>
  <si>
    <t>FIE60-2022-2023-0035</t>
  </si>
  <si>
    <t>GABRIEL CAMARENO SOTO</t>
  </si>
  <si>
    <t>2023-002435</t>
  </si>
  <si>
    <t>2023-002439</t>
  </si>
  <si>
    <t>AC CULINARY GROUP, LLC</t>
  </si>
  <si>
    <t>2023-002441</t>
  </si>
  <si>
    <t>HEIDI L. IRIZARRY ECHEVARRIA</t>
  </si>
  <si>
    <t>2023-002444</t>
  </si>
  <si>
    <t>XAVI CORP.</t>
  </si>
  <si>
    <t>2023-002445</t>
  </si>
  <si>
    <t>FERRETERIA CASA GRANDE, INC.</t>
  </si>
  <si>
    <t>2023-002446</t>
  </si>
  <si>
    <t>ACTA LLC / YI RESTAURANT</t>
  </si>
  <si>
    <t>2023-002447</t>
  </si>
  <si>
    <t>SIN STRESS BAR AND FOOD CORP.</t>
  </si>
  <si>
    <t>2023-002448</t>
  </si>
  <si>
    <t>E AND D HERBS MEDICINE NATURAL PRODUCTS</t>
  </si>
  <si>
    <t>2023-002451</t>
  </si>
  <si>
    <t>SWEET HOME PR, LLC</t>
  </si>
  <si>
    <t>2023-002452</t>
  </si>
  <si>
    <t>JOSE JOAQUIN GIRONA CORTES</t>
  </si>
  <si>
    <t>2023-002454</t>
  </si>
  <si>
    <t>EULOGIO NIEVES CRESPO</t>
  </si>
  <si>
    <t>2023-002455</t>
  </si>
  <si>
    <t>ALEXANDRA MARTINEZ GARCIA</t>
  </si>
  <si>
    <t>2023-002456</t>
  </si>
  <si>
    <t>AMANDA L. JONES RODRIGUEZ</t>
  </si>
  <si>
    <t>2023-002457</t>
  </si>
  <si>
    <t>LUZ MARIA DE DIOS RODRIGUEZ</t>
  </si>
  <si>
    <t>2023-002458</t>
  </si>
  <si>
    <t>ANDREA ANGELY MARTINEZ ALVAREZ</t>
  </si>
  <si>
    <t>2023-002460</t>
  </si>
  <si>
    <t>2023-002461</t>
  </si>
  <si>
    <t>2023-002462</t>
  </si>
  <si>
    <t>RUBEN GABRIEL PEREZ AQUINO</t>
  </si>
  <si>
    <t>2023-002463</t>
  </si>
  <si>
    <t>EMANOEL FRANCISCO FIGUEROA DIAZ</t>
  </si>
  <si>
    <t>2023-002465</t>
  </si>
  <si>
    <t>KILEISHA GABRIELA ALICEA RIOS</t>
  </si>
  <si>
    <t>2023-002467</t>
  </si>
  <si>
    <t>LISDALIANYS LANZOT HERRERA</t>
  </si>
  <si>
    <t>2023-002468</t>
  </si>
  <si>
    <t>ARACELIS TORRES RIVERA</t>
  </si>
  <si>
    <t>2023-002469</t>
  </si>
  <si>
    <t>ALEXANDER PACHECO CAMACHO</t>
  </si>
  <si>
    <t>2023-002470</t>
  </si>
  <si>
    <t>CORALYS IVETTE CUEVAS HORNEDO</t>
  </si>
  <si>
    <t>2023-002471</t>
  </si>
  <si>
    <t>2023-002472</t>
  </si>
  <si>
    <t>MEREDITH ORTIZ RIVERA</t>
  </si>
  <si>
    <t>2023-002481</t>
  </si>
  <si>
    <t>2023-002482</t>
  </si>
  <si>
    <t>2023-002490</t>
  </si>
  <si>
    <t>SARAH MICHELLE BETANCOURT GONZALEZ</t>
  </si>
  <si>
    <t>2023-002491</t>
  </si>
  <si>
    <t>2023-002492</t>
  </si>
  <si>
    <t>CARLOS JAVIER PEPIN DELGADO</t>
  </si>
  <si>
    <t>2023-002493</t>
  </si>
  <si>
    <t>JOEL VAN DAALEN MORALES</t>
  </si>
  <si>
    <t>2023-002495</t>
  </si>
  <si>
    <t>ADDYTH GISSELLE MIRANDA VALLE</t>
  </si>
  <si>
    <t>2023-002496</t>
  </si>
  <si>
    <t>ROBERTO M. VAQUERO ORELLANO</t>
  </si>
  <si>
    <t>2024-000040</t>
  </si>
  <si>
    <t>2024-000041</t>
  </si>
  <si>
    <t>2024-000042</t>
  </si>
  <si>
    <t>2024-000043</t>
  </si>
  <si>
    <t>2024-000044</t>
  </si>
  <si>
    <t>2024-000045</t>
  </si>
  <si>
    <t>2024-000049</t>
  </si>
  <si>
    <t>2024-000050</t>
  </si>
  <si>
    <t>2024-000051</t>
  </si>
  <si>
    <t>2024-000065</t>
  </si>
  <si>
    <t>2024-000066</t>
  </si>
  <si>
    <t>2024-000068</t>
  </si>
  <si>
    <t>2024-000069</t>
  </si>
  <si>
    <t>2024-000070</t>
  </si>
  <si>
    <t>2024-000073</t>
  </si>
  <si>
    <t>2024-000075</t>
  </si>
  <si>
    <t>2024-000076</t>
  </si>
  <si>
    <t>FIE60-2023-2024-0057</t>
  </si>
  <si>
    <t>2024-000103</t>
  </si>
  <si>
    <t>ORTHO TAIN, INC.</t>
  </si>
  <si>
    <t>FIE60-2023-2024-0058</t>
  </si>
  <si>
    <t>2024-000104</t>
  </si>
  <si>
    <t>2024-000105</t>
  </si>
  <si>
    <t>2024-000106</t>
  </si>
  <si>
    <t>2024-000123</t>
  </si>
  <si>
    <t>2024-000124</t>
  </si>
  <si>
    <t>2024-000125</t>
  </si>
  <si>
    <t>2024-000126</t>
  </si>
  <si>
    <t>FIE60-2022-2023-0029</t>
  </si>
  <si>
    <t>2024-000132</t>
  </si>
  <si>
    <t>WILLIAMS CARMONA CRESPO</t>
  </si>
  <si>
    <t>Cancelled (Balance pending)</t>
  </si>
  <si>
    <t>GUAYANILLA</t>
  </si>
  <si>
    <t>Servicio de limpieza de patios y áreas verdes</t>
  </si>
  <si>
    <t>JAEO CORPORATION</t>
  </si>
  <si>
    <t>Reciclaje parcial de equipos electrónicos y productos electrónicos relacionados</t>
  </si>
  <si>
    <t>Ferretería</t>
  </si>
  <si>
    <t>Venta al detal</t>
  </si>
  <si>
    <t>VERONICA RODRIGUEZ GONZALEZ</t>
  </si>
  <si>
    <t>Mallas ciclónicas y productos relacionados</t>
  </si>
  <si>
    <t>BENJAMIN ANDRES GONZALEZ VALENTIN</t>
  </si>
  <si>
    <t>Clínica de servicios de evaluación y terapia a niños</t>
  </si>
  <si>
    <t>Centro de adiestramiento y capacitación</t>
  </si>
  <si>
    <t>Servicios de mediación conflictos y asesoría en relaciones laborales</t>
  </si>
  <si>
    <t xml:space="preserve"> FIE60-2021-2022-0252</t>
  </si>
  <si>
    <t>2021-000143-A</t>
  </si>
  <si>
    <t>2021-000144-A</t>
  </si>
  <si>
    <t>2023-001888-A</t>
  </si>
  <si>
    <t>2023-002418</t>
  </si>
  <si>
    <t>YILENIA ZAYAS BERRIOS</t>
  </si>
  <si>
    <t>2023-002419</t>
  </si>
  <si>
    <t>EMILY AIDEE REMOND ADAMES</t>
  </si>
  <si>
    <t>GERSON G. SANTIAGO GONZALEZ</t>
  </si>
  <si>
    <t>2023-002420</t>
  </si>
  <si>
    <t>2023-002421</t>
  </si>
  <si>
    <t>VANESSA D. RODRIGUEZ VAZQUEZ</t>
  </si>
  <si>
    <t>2023-002422</t>
  </si>
  <si>
    <t>ALEXANDRA MARTINEZ ARZOLA</t>
  </si>
  <si>
    <t>2023-002423</t>
  </si>
  <si>
    <t>FRANCHESKA MORALES GARCIA</t>
  </si>
  <si>
    <t>DAILEEN A. RODRIGUEZ MORALES</t>
  </si>
  <si>
    <t>2024-000061</t>
  </si>
  <si>
    <t>2024-000154</t>
  </si>
  <si>
    <t>FIE60-2023-2024-0044</t>
  </si>
  <si>
    <t>2024-000170</t>
  </si>
  <si>
    <t>2024-000171</t>
  </si>
  <si>
    <t>2024-000172</t>
  </si>
  <si>
    <t>2024-000173</t>
  </si>
  <si>
    <t>2024-000174</t>
  </si>
  <si>
    <t>2024-000192</t>
  </si>
  <si>
    <t>FIE60-2023-2024-0048</t>
  </si>
  <si>
    <t>LISMARY CRUZ HERNANDEZ</t>
  </si>
  <si>
    <t>ISLA ALKA PUERTO RICO, LLC.</t>
  </si>
  <si>
    <t>2021-000161-A</t>
  </si>
  <si>
    <t>2021-000365-A</t>
  </si>
  <si>
    <t>2023-001695-B</t>
  </si>
  <si>
    <t>2023-002134-A</t>
  </si>
  <si>
    <t>2023-002135-A</t>
  </si>
  <si>
    <t>2023-002408-A</t>
  </si>
  <si>
    <t>FIE60-2023-2024-0042</t>
  </si>
  <si>
    <t>2024-000175</t>
  </si>
  <si>
    <t>FIE60-2023-2024-0015</t>
  </si>
  <si>
    <t>2024-000209</t>
  </si>
  <si>
    <t>B.B. BEDDING, LLC</t>
  </si>
  <si>
    <t>2024-000232</t>
  </si>
  <si>
    <t>FIE60-2023-2024-0047</t>
  </si>
  <si>
    <t>2024-000233</t>
  </si>
  <si>
    <t>FIE60-2023-2024-0043</t>
  </si>
  <si>
    <t>2024-000237</t>
  </si>
  <si>
    <t>FIE60-2023-2024-0083</t>
  </si>
  <si>
    <t>FIE60-2023-2024-0084</t>
  </si>
  <si>
    <t>2024-000238</t>
  </si>
  <si>
    <t>2024-000240</t>
  </si>
  <si>
    <t>FIE60-2023-2024-0129</t>
  </si>
  <si>
    <t>FIE60-2023-2024-0130</t>
  </si>
  <si>
    <t>2024-000241</t>
  </si>
  <si>
    <t>2024-000242</t>
  </si>
  <si>
    <t>2024-000243</t>
  </si>
  <si>
    <t>FIE60-2023-2024-0101</t>
  </si>
  <si>
    <t>PALEFRUTA CORP.</t>
  </si>
  <si>
    <t>FIE60-2023-2024-0100</t>
  </si>
  <si>
    <t>2024-000248</t>
  </si>
  <si>
    <t>2024-000249</t>
  </si>
  <si>
    <t>JUAN R. GUZMAN SOTO</t>
  </si>
  <si>
    <t>2024-000253</t>
  </si>
  <si>
    <t>KARLA MORALES MORENO</t>
  </si>
  <si>
    <t>2024-000254</t>
  </si>
  <si>
    <t>ALEJANDRA BAIZ TORRES</t>
  </si>
  <si>
    <t>2024-000255</t>
  </si>
  <si>
    <t>MANUEL LIANO OTERO</t>
  </si>
  <si>
    <t>2024-000344</t>
  </si>
  <si>
    <t>CENTRO COMUNITARIO RVDA INES J FIGUEROA</t>
  </si>
  <si>
    <t>Unidades de muelles que se utilizan para la manufactura de mattresses</t>
  </si>
  <si>
    <t>Renglón de madera</t>
  </si>
  <si>
    <t>Empaque y distribución de variedad de sofritos, ajos, salsas, aderezos, sazonadores, adobos, condimentos y especies</t>
  </si>
  <si>
    <t>Renglón de barro</t>
  </si>
  <si>
    <t>Renglón de labores de barro</t>
  </si>
  <si>
    <t>IVETTE BOVER SEDA</t>
  </si>
  <si>
    <t>2024-000235</t>
  </si>
  <si>
    <t>ELIZABETH FIGUEROA MENDEZ</t>
  </si>
  <si>
    <t>2024-000262</t>
  </si>
  <si>
    <t>ATV POWER RACING, INC.</t>
  </si>
  <si>
    <t>2024-000263</t>
  </si>
  <si>
    <t>CARIBBEAN FOOD SERVICES, LLC</t>
  </si>
  <si>
    <t>2024-000264</t>
  </si>
  <si>
    <t>CARLOS R. ORTIZ DIAZ</t>
  </si>
  <si>
    <t>2024-000265</t>
  </si>
  <si>
    <t>CARLOS J. RIVERA SANTIAGO</t>
  </si>
  <si>
    <t>2024-000266</t>
  </si>
  <si>
    <t>CCB HOLDING LLC</t>
  </si>
  <si>
    <t>2024-000271</t>
  </si>
  <si>
    <t>CUIDO CORAZONCITO, INC.</t>
  </si>
  <si>
    <t>2024-000274</t>
  </si>
  <si>
    <t>DIAZ MINIMARKET Y BABY CENTER, INC.</t>
  </si>
  <si>
    <t>2024-000275</t>
  </si>
  <si>
    <t>DRA. NYDIA I. SANTANA SEGARRA P.S.C.</t>
  </si>
  <si>
    <t>2024-000276</t>
  </si>
  <si>
    <t>E AND M BROTHERS CONSTRUCTION, LLC</t>
  </si>
  <si>
    <t>2024-000277</t>
  </si>
  <si>
    <t>EL MOLCAJETE MEXICAN CUISINE &amp; MORE LLC</t>
  </si>
  <si>
    <t>2024-000284</t>
  </si>
  <si>
    <t xml:space="preserve">HECTOR L. CORDERO DIAZ </t>
  </si>
  <si>
    <t>2024-000285</t>
  </si>
  <si>
    <t>HIGH ALTERNATIVE EDUCATION CORP.</t>
  </si>
  <si>
    <t>2024-000290</t>
  </si>
  <si>
    <t xml:space="preserve">JOSE E. ARIAS BENABE </t>
  </si>
  <si>
    <t>2024-000292</t>
  </si>
  <si>
    <t xml:space="preserve">JULIO E. VAZQUEZ SUAREZ </t>
  </si>
  <si>
    <t>2024-000295</t>
  </si>
  <si>
    <t>LAB SUSUA, INC.</t>
  </si>
  <si>
    <t>2024-000296</t>
  </si>
  <si>
    <t>LABORATORIO CLINICO EL ROSARIO, INC.</t>
  </si>
  <si>
    <t>2024-000300</t>
  </si>
  <si>
    <t>MARIA M. RODRIGUEZ DAMAS / ARLEKINO</t>
  </si>
  <si>
    <t>2024-000303</t>
  </si>
  <si>
    <t>MAZ HEALTH AND FITNESS LLC</t>
  </si>
  <si>
    <t>2024-000305</t>
  </si>
  <si>
    <t>NEFTALI  DIAZ GOMEZ / PINTADITA PR</t>
  </si>
  <si>
    <t>2024-000306</t>
  </si>
  <si>
    <t>OBNIEL GONZALEZ LOPEZ</t>
  </si>
  <si>
    <t>2024-000308</t>
  </si>
  <si>
    <t>PA'PICAR INC</t>
  </si>
  <si>
    <t>2024-000310</t>
  </si>
  <si>
    <t>PIRAMIDE REAL ESTATE BROKERS C.S.P.</t>
  </si>
  <si>
    <t>2024-000312</t>
  </si>
  <si>
    <t>PRIZZA BAYAMON, LLC</t>
  </si>
  <si>
    <t>2024-000315</t>
  </si>
  <si>
    <t>RICHEST FROZEN YOGURT, INC.</t>
  </si>
  <si>
    <t>2024-000316</t>
  </si>
  <si>
    <t xml:space="preserve">ROGER J. IGLESIAS SUAREZ </t>
  </si>
  <si>
    <t>2024-000319</t>
  </si>
  <si>
    <t>RYC CORPORATION</t>
  </si>
  <si>
    <t>2024-000323</t>
  </si>
  <si>
    <t xml:space="preserve">SANTIAGO SANTOS, INC. </t>
  </si>
  <si>
    <t>2024-000359</t>
  </si>
  <si>
    <t>FIE60-2023-2024-0062</t>
  </si>
  <si>
    <t>2024-000360</t>
  </si>
  <si>
    <t>FIE60-2023-2024-0063</t>
  </si>
  <si>
    <t>INTERNATIONAL PUBLIC TERMINAL LLC</t>
  </si>
  <si>
    <t>2024-000411</t>
  </si>
  <si>
    <t>2024-000412</t>
  </si>
  <si>
    <t>2024-000413</t>
  </si>
  <si>
    <t>2024-000414</t>
  </si>
  <si>
    <t>2024-000415</t>
  </si>
  <si>
    <t>2024-000416</t>
  </si>
  <si>
    <t>2024-000417</t>
  </si>
  <si>
    <t>2024-000418</t>
  </si>
  <si>
    <t>FIE60-2023-2024-0126</t>
  </si>
  <si>
    <t>FIE60-2023-2024-0127</t>
  </si>
  <si>
    <t>FIE60-2023-2024-0128</t>
  </si>
  <si>
    <t>FIE60-2023-2024-0121</t>
  </si>
  <si>
    <t>FIE60-2023-2024-0122</t>
  </si>
  <si>
    <t>FIE60-2023-2024-0123</t>
  </si>
  <si>
    <t>FIE60-2023-2024-0124</t>
  </si>
  <si>
    <t>FIE60-2023-2024-0125</t>
  </si>
  <si>
    <t>2024-000419</t>
  </si>
  <si>
    <t>2024-000420</t>
  </si>
  <si>
    <t>FIE60-2023-2024-0095</t>
  </si>
  <si>
    <t>FIE60-2023-2024-0096</t>
  </si>
  <si>
    <t>MARXUACH PRECAST SOLUTIONS, INC.</t>
  </si>
  <si>
    <t>2024-000432</t>
  </si>
  <si>
    <t>FIE60-2023-2024-0104</t>
  </si>
  <si>
    <t>STRUCTURAL STEEL MANUFACTURING, INC.</t>
  </si>
  <si>
    <t>2024-000456</t>
  </si>
  <si>
    <t>FIE60-2023-2024-0105</t>
  </si>
  <si>
    <t>Oficina médica</t>
  </si>
  <si>
    <t>Servicio y mantenimiento de electricidad</t>
  </si>
  <si>
    <t xml:space="preserve">Centro de almacenamiento, distribución, transporte, almacenamiento de carga para exportación y recepción de carga de transbordo </t>
  </si>
  <si>
    <t>Preparaciones farmacéuticas</t>
  </si>
  <si>
    <t>Manufactura de prefabricados en hormigón</t>
  </si>
  <si>
    <t>2023-002300-A</t>
  </si>
  <si>
    <t>2024-000046</t>
  </si>
  <si>
    <t>FIE60-2022-2023-0071</t>
  </si>
  <si>
    <t>HACIENDA MONTE ALTO, INC.</t>
  </si>
  <si>
    <t>FIE60-2023-2024-0078</t>
  </si>
  <si>
    <t>JETBLUE AIRWAYS CORPORATION</t>
  </si>
  <si>
    <t>2024-000364</t>
  </si>
  <si>
    <t>2024-000365</t>
  </si>
  <si>
    <t>SERVICIOS EDUCATIVOS EBENEZER, INC.</t>
  </si>
  <si>
    <t>2024-000368</t>
  </si>
  <si>
    <t>SANTURCIA1653 LLC</t>
  </si>
  <si>
    <t>2024-000372</t>
  </si>
  <si>
    <t>JOEL TIRE CENTER Y SUPER ESPECIALES JOEL</t>
  </si>
  <si>
    <t>2024-000373</t>
  </si>
  <si>
    <t xml:space="preserve">ANGEL L. GONZALEZ LOPEZ </t>
  </si>
  <si>
    <t>2024-000376</t>
  </si>
  <si>
    <t>ARIAS BERRIOS PAIN MANAGEMENT</t>
  </si>
  <si>
    <t>2024-000377</t>
  </si>
  <si>
    <t>ACS GROUP CORP.</t>
  </si>
  <si>
    <t>2024-000402</t>
  </si>
  <si>
    <t>65TH RENTAL AND SALES CORP.</t>
  </si>
  <si>
    <t>2024-000403</t>
  </si>
  <si>
    <t>CASA CORALES, INC.</t>
  </si>
  <si>
    <t>2024-000404</t>
  </si>
  <si>
    <t>JAVIER I. BERRIOS NEGRON</t>
  </si>
  <si>
    <t>2024-000405</t>
  </si>
  <si>
    <t>DGLENYS GROUP LLC</t>
  </si>
  <si>
    <t>2024-000406</t>
  </si>
  <si>
    <t>DOLCE BELLA BEAUTY SUPPLY</t>
  </si>
  <si>
    <t>2024-000407</t>
  </si>
  <si>
    <t>DV INVESTMENTS AND SERVICES LLC</t>
  </si>
  <si>
    <t>2024-000408</t>
  </si>
  <si>
    <t>FRACTAL LLC</t>
  </si>
  <si>
    <t>2024-000409</t>
  </si>
  <si>
    <t>GARAGE MIRANDA BODY SHOP, INC.</t>
  </si>
  <si>
    <t>2024-000421</t>
  </si>
  <si>
    <t>JAVIER E. ARIAS BERRIOS</t>
  </si>
  <si>
    <t>2024-000422</t>
  </si>
  <si>
    <t>JAVIER GONZALEZ SANCHEZ</t>
  </si>
  <si>
    <t>2024-000423</t>
  </si>
  <si>
    <t>JJ ELDERLY SERVICES CORP.</t>
  </si>
  <si>
    <t>2024-000424</t>
  </si>
  <si>
    <t>LA PASTIZZERIA CORP.</t>
  </si>
  <si>
    <t>2024-000426</t>
  </si>
  <si>
    <t>LUKS DERMALOUNGE LLC</t>
  </si>
  <si>
    <t>2024-000427</t>
  </si>
  <si>
    <t>MUUAAA DESIGN LLC</t>
  </si>
  <si>
    <t>2024-000428</t>
  </si>
  <si>
    <t>PANADERIA Y REPOSTERIA INNOVATIVE, INC.</t>
  </si>
  <si>
    <t>2024-000429</t>
  </si>
  <si>
    <t>PIROVALOS INC</t>
  </si>
  <si>
    <t>2024-000430</t>
  </si>
  <si>
    <t>PMC RACING, INC.</t>
  </si>
  <si>
    <t>2024-000431</t>
  </si>
  <si>
    <t>MODERN CANTINAS LLC</t>
  </si>
  <si>
    <t>2024-000433</t>
  </si>
  <si>
    <t>POWERSUN, LLC</t>
  </si>
  <si>
    <t>2024-000435</t>
  </si>
  <si>
    <t>THE PICKUP PLACE CORP.</t>
  </si>
  <si>
    <t>2024-000436</t>
  </si>
  <si>
    <t>THE PRINTCO. SG LLC</t>
  </si>
  <si>
    <t>2024-000437</t>
  </si>
  <si>
    <t>APOSENTO ALTO</t>
  </si>
  <si>
    <t>2024-000438</t>
  </si>
  <si>
    <t>RUNWAY CENTER ARTS INSTITUTE INC</t>
  </si>
  <si>
    <t>2024-000439</t>
  </si>
  <si>
    <t>NORBERTO RIOS ALICEA</t>
  </si>
  <si>
    <t>2024-000444</t>
  </si>
  <si>
    <t>PRO PAINT AUTO</t>
  </si>
  <si>
    <t>2024-000447</t>
  </si>
  <si>
    <t>FATHER AND SON CONSTRUCTION CORP.</t>
  </si>
  <si>
    <t>2024-000462</t>
  </si>
  <si>
    <t>HABITAT DISENOS CREATIVOS, INC.</t>
  </si>
  <si>
    <t>2024-000469</t>
  </si>
  <si>
    <t>CENTRO CULTURAL JAYUYANO, INC.</t>
  </si>
  <si>
    <t>2024-000472</t>
  </si>
  <si>
    <t>2024-000473</t>
  </si>
  <si>
    <t>FIE60-2023-2024-0085</t>
  </si>
  <si>
    <t>FIE60-2023-2024-0086</t>
  </si>
  <si>
    <t>COLONIA MEADERY LLC</t>
  </si>
  <si>
    <t>2024-000482</t>
  </si>
  <si>
    <t>FIE60-2023-2024-0039</t>
  </si>
  <si>
    <t>CASA-I, LLC</t>
  </si>
  <si>
    <t>2024-000483</t>
  </si>
  <si>
    <t>FIE60-2023-2024-0040</t>
  </si>
  <si>
    <t>2024-000497</t>
  </si>
  <si>
    <t>ANTONIO FIGUEROA BELTRAN</t>
  </si>
  <si>
    <t>2024-000498</t>
  </si>
  <si>
    <t>ARNALDO RIVERA CABRERA</t>
  </si>
  <si>
    <t>2024-000499</t>
  </si>
  <si>
    <t>MERCADO MANGUAL, CARMEN /MAR ADENTRO</t>
  </si>
  <si>
    <t>2024-000500</t>
  </si>
  <si>
    <t>CLINICA TERAPEUTICA JERINGONZA, INC.</t>
  </si>
  <si>
    <t>2024-000501</t>
  </si>
  <si>
    <t>CONSTRUCCIONES POLANCO, INC.</t>
  </si>
  <si>
    <t>2024-000502</t>
  </si>
  <si>
    <t>DENTAL DESIGNERS, PSC</t>
  </si>
  <si>
    <t>2024-000503</t>
  </si>
  <si>
    <t>ECQ SERVICES CORP.</t>
  </si>
  <si>
    <t>2024-000504</t>
  </si>
  <si>
    <t>EMPRESAS FCS, INC.</t>
  </si>
  <si>
    <t>2024-000505</t>
  </si>
  <si>
    <t>2024-000506</t>
  </si>
  <si>
    <t>JOSE ABRAHAN VIDAL GORDILLO</t>
  </si>
  <si>
    <t>2024-000507</t>
  </si>
  <si>
    <t>SOFRITO SOL JAYUYANO</t>
  </si>
  <si>
    <t>2024-000508</t>
  </si>
  <si>
    <t>LINK PARTNERS GROUP, INC.</t>
  </si>
  <si>
    <t>2024-000509</t>
  </si>
  <si>
    <t>MARIANA M. PLAZA CORTES</t>
  </si>
  <si>
    <t>2024-000510</t>
  </si>
  <si>
    <t>NEURO SPORTS CENTER LLC</t>
  </si>
  <si>
    <t>2024-000511</t>
  </si>
  <si>
    <t>NEUROSLEEP PUERTO RICO LLC</t>
  </si>
  <si>
    <t>2024-000512</t>
  </si>
  <si>
    <t>SANTA MARIA MENDEZ CPA LLC</t>
  </si>
  <si>
    <t>2024-000513</t>
  </si>
  <si>
    <t>2024-000515</t>
  </si>
  <si>
    <t>VALENTIN ROSARIO MARQUEZ / WIN BAKERY</t>
  </si>
  <si>
    <t>2024-000517</t>
  </si>
  <si>
    <t>VIVIAN M. LLORET HERNANDEZ</t>
  </si>
  <si>
    <t>2024-000518</t>
  </si>
  <si>
    <t>ESSENZE, INC.</t>
  </si>
  <si>
    <t>2024-000519</t>
  </si>
  <si>
    <t>KAIROS TIRE CENTER, INC.</t>
  </si>
  <si>
    <t>2024-000521</t>
  </si>
  <si>
    <t>MELVIN I. MARCIAL TERRON</t>
  </si>
  <si>
    <t>2024-000522</t>
  </si>
  <si>
    <t>PHARMA XPRESS LLC</t>
  </si>
  <si>
    <t>2024-000523</t>
  </si>
  <si>
    <t>RAMIREZ RIVERA FARM, INC.</t>
  </si>
  <si>
    <t>2024-000524</t>
  </si>
  <si>
    <t>SUGAR IN A BOX LLC / THE NUTTY KITCHEN</t>
  </si>
  <si>
    <t>2024-000525</t>
  </si>
  <si>
    <t>2024-000526</t>
  </si>
  <si>
    <t>ROSAURA SANTIAGO RUIZ/YANGCHI THERAPHY</t>
  </si>
  <si>
    <t>MARIANA CRUZ MANZANO</t>
  </si>
  <si>
    <t>2024-000537</t>
  </si>
  <si>
    <t>ELAINE J. ROSARIO ALBINO</t>
  </si>
  <si>
    <t>2024-000542</t>
  </si>
  <si>
    <t>FIE60-2023-2024-0146</t>
  </si>
  <si>
    <t>2024-000543</t>
  </si>
  <si>
    <t>FIE60-2023-2024-0090</t>
  </si>
  <si>
    <t>2024-000544</t>
  </si>
  <si>
    <t>FIE60-2023-2024-0089</t>
  </si>
  <si>
    <t>2024-000545</t>
  </si>
  <si>
    <t>FIE60-2023-2024-0091</t>
  </si>
  <si>
    <t>2024-000546</t>
  </si>
  <si>
    <t>FIE60-2023-2024-0092</t>
  </si>
  <si>
    <t>2024-000547</t>
  </si>
  <si>
    <t>FIE60-2023-2024-0094</t>
  </si>
  <si>
    <t>2024-000548</t>
  </si>
  <si>
    <t>FIE60-2023-2024-0093</t>
  </si>
  <si>
    <t>2024-000553</t>
  </si>
  <si>
    <t>RULYS PIZZA, INC.</t>
  </si>
  <si>
    <t>2024-000554</t>
  </si>
  <si>
    <t>ORLANDO HERNANDEZ CUEVAS</t>
  </si>
  <si>
    <t>2024-000556</t>
  </si>
  <si>
    <t>CR SUB ISLAND CORP.</t>
  </si>
  <si>
    <t>2024-000558</t>
  </si>
  <si>
    <t>FIE60-2023-2024-0131</t>
  </si>
  <si>
    <t>ASOCIACION HECHO EN PUERTO RICO, INC.</t>
  </si>
  <si>
    <t>2024-000562</t>
  </si>
  <si>
    <t>FIE60-2023-2024-0054</t>
  </si>
  <si>
    <t>2024-000563</t>
  </si>
  <si>
    <t>FIE60-2023-2024-0055</t>
  </si>
  <si>
    <t>2024-000565</t>
  </si>
  <si>
    <t>FIE60-2023-2024-0079</t>
  </si>
  <si>
    <t>2024-000566</t>
  </si>
  <si>
    <t>WEST SIDE DESTINATION, LLC</t>
  </si>
  <si>
    <t>2024-000567</t>
  </si>
  <si>
    <t>FIE60-2023-2024-0072</t>
  </si>
  <si>
    <t>2024-000568</t>
  </si>
  <si>
    <t>FIE60-2023-2024-0073</t>
  </si>
  <si>
    <t>2024-000569</t>
  </si>
  <si>
    <t>FIE60-2023-2024-0071</t>
  </si>
  <si>
    <t>2024-000570</t>
  </si>
  <si>
    <t>2024-000572</t>
  </si>
  <si>
    <t>DANIELA ROSELLO LEDESMA</t>
  </si>
  <si>
    <t>2024-000586</t>
  </si>
  <si>
    <t>FIE60-2023-2024-0002</t>
  </si>
  <si>
    <t>MARQUES WAREN, INC.</t>
  </si>
  <si>
    <t>2024-000587</t>
  </si>
  <si>
    <t>FIE60-2023-2024-0003</t>
  </si>
  <si>
    <t>2024-000591</t>
  </si>
  <si>
    <t>RINA YOCASTA GARCIA-ACOSTA</t>
  </si>
  <si>
    <t>FOUNTAIN CHRISTIAN BILINGUAL</t>
  </si>
  <si>
    <t xml:space="preserve">Manufactura de casas prefabricadas, modulares y de hormigón resistentes a desastres naturales </t>
  </si>
  <si>
    <t>Manufactura del "United States Marine Corps Suspension Components" para el Departmento de la Defensa de EUA </t>
  </si>
  <si>
    <t>Manufactura del "MOLLE 4000 Rucksack Set Components" bajo contratación con "USA Department of Defense (DoD)"</t>
  </si>
  <si>
    <t>Manufactura de los componentes utilizados en la manufactura del "MOLLE 4000 Ruck Sack" bajo contrato con el Departamento de la Defensa de EUA</t>
  </si>
  <si>
    <t>2024-000564</t>
  </si>
  <si>
    <t>Renta y venta de equipo</t>
  </si>
  <si>
    <t>Hogar de cuidado de edad avanzada</t>
  </si>
  <si>
    <t>Comida criolla</t>
  </si>
  <si>
    <t>Centro de cuidado del cabello, piel y arreglo personal</t>
  </si>
  <si>
    <t>Tienda de productos de belleza al detal</t>
  </si>
  <si>
    <t>Servicio de hojalatería y pintura para autos</t>
  </si>
  <si>
    <t>Oficina dental</t>
  </si>
  <si>
    <t>Venta de pollos al carbón y otros alimentos</t>
  </si>
  <si>
    <t>Cuido prolongado de envejecientes</t>
  </si>
  <si>
    <t>Venta de alimentos y bebidas</t>
  </si>
  <si>
    <t>Venta y fabricación de piezas de motoras</t>
  </si>
  <si>
    <t>Restaurante de comida mexicana</t>
  </si>
  <si>
    <t>Venta, instalación y servicio de sistema de energía solar</t>
  </si>
  <si>
    <t>Tienda a consignación</t>
  </si>
  <si>
    <t>Empresa dedicada a rótulos e imprenta</t>
  </si>
  <si>
    <t>Siembra de café, guineo y plátanos</t>
  </si>
  <si>
    <t>Ventas, accesorios y pinturas para auto</t>
  </si>
  <si>
    <t>Servicio de exámenes visuales, espejuelos, gafas de sol, lentes de contacto, clínicas visuales</t>
  </si>
  <si>
    <t>Clínica terapéutica</t>
  </si>
  <si>
    <t>Servicio de construcción en general tanto a individuo como empresas comerciales</t>
  </si>
  <si>
    <t>Servicio dental</t>
  </si>
  <si>
    <t>Centro de entrenamiento físico personalizado</t>
  </si>
  <si>
    <t>Servicio de barbería</t>
  </si>
  <si>
    <t>Comerciante mayorista de suministros y equipos médicos, dentales y para uso de hospitales con un segmento automotriz de venta al detal de productos para vehículos</t>
  </si>
  <si>
    <t>Servicio de entrenamiento neurocognitivo, terapia cognitiva y mental</t>
  </si>
  <si>
    <t>Servicio de evaluación y manejo de pacientes con problemas neurológicos y condiciones de sueño</t>
  </si>
  <si>
    <t>Firma local de contabilidad, auditoría e impuestos</t>
  </si>
  <si>
    <t>Renglón de vidrio</t>
  </si>
  <si>
    <t>Visibilización de productos, exportación en línea y adiestramientos para empresarios locales</t>
  </si>
  <si>
    <t>44 Festival del Petate 2023</t>
  </si>
  <si>
    <t>Venta de viandas asadas rellenas</t>
  </si>
  <si>
    <t>Manufactura de productos para mejoras en el hogar (topes gabinetes en diferentes materiales, tormenteras de diferentes tipos y otros productos relacionados)</t>
  </si>
  <si>
    <t xml:space="preserve">Software para la manufactura de piezas para aviones </t>
  </si>
  <si>
    <t>Meat processing</t>
  </si>
  <si>
    <t>Servicio de consultoria administrativa. Apoyo technico de informatica y desarrollo de software</t>
  </si>
  <si>
    <t>Sistema de control de acceso que opera a traves de aplicacion llamada keybolt</t>
  </si>
  <si>
    <t>Diseño y manufactura de productos que ahorran/producen energía</t>
  </si>
  <si>
    <t>Call center</t>
  </si>
  <si>
    <t>Dispositivos médicos</t>
  </si>
  <si>
    <t>Manufactura de dispositivos médicos</t>
  </si>
  <si>
    <t>Medical device</t>
  </si>
  <si>
    <t>Centro de llamadas</t>
  </si>
  <si>
    <t>Equipos para aislar plaquetas y recolectar sangre</t>
  </si>
  <si>
    <t>Hidropónicos</t>
  </si>
  <si>
    <t>Lechugas, hortalizas y otras plantas aromáticas</t>
  </si>
  <si>
    <t>Hidroponico para lechuga</t>
  </si>
  <si>
    <t>Lechuga romana y cilantrillo</t>
  </si>
  <si>
    <t>Electric panels</t>
  </si>
  <si>
    <t xml:space="preserve">Desarrollo de software </t>
  </si>
  <si>
    <t>Servicios de planificación financiera y centro de llamadas</t>
  </si>
  <si>
    <t>Manufactura de piezas de metal especializadas</t>
  </si>
  <si>
    <t>Fundicion de aluminio</t>
  </si>
  <si>
    <t xml:space="preserve">Hamburguesas, especies, sopas y sofritos           </t>
  </si>
  <si>
    <t>Manufactura de productos farmacéuticos</t>
  </si>
  <si>
    <t xml:space="preserve">Cigars                                                                          </t>
  </si>
  <si>
    <t>Industria del ron</t>
  </si>
  <si>
    <t>Military uniforms and accesories manufacturing</t>
  </si>
  <si>
    <t>Uniformes militares</t>
  </si>
  <si>
    <t>Bebidas alcohólicas y alcohol etílico</t>
  </si>
  <si>
    <t>Arena manufacturada</t>
  </si>
  <si>
    <t>Procesamiento de  carnes de res, cerdo y pequeños rumiantes</t>
  </si>
  <si>
    <t>Costura militar</t>
  </si>
  <si>
    <t>Elaboración de productos de repostería</t>
  </si>
  <si>
    <t>Promoción de pr en el exterior ley 13-2017</t>
  </si>
  <si>
    <t>Servicio de consultoría administrativa. Apoyo técnico de informática y desarrollo de software</t>
  </si>
  <si>
    <t>Coffe manufacturing</t>
  </si>
  <si>
    <t xml:space="preserve">Recycle of paper plastic and aluminum                                           </t>
  </si>
  <si>
    <t>Ophtalmic lenses</t>
  </si>
  <si>
    <t>Escarpelos y navajas quirurgicas</t>
  </si>
  <si>
    <t xml:space="preserve">Motor vehicles radiators                                                        </t>
  </si>
  <si>
    <t xml:space="preserve">Tylenol tablets   pharmaceutical preparations                                                    </t>
  </si>
  <si>
    <t>Beverage manufacturing</t>
  </si>
  <si>
    <t>Plastic trays by thermoforming</t>
  </si>
  <si>
    <t>Manufactura de muebles en pvc</t>
  </si>
  <si>
    <t>Pharmaceutical products</t>
  </si>
  <si>
    <t>Key supplier services</t>
  </si>
  <si>
    <t>Shopping carts</t>
  </si>
  <si>
    <t>Lents manufacture</t>
  </si>
  <si>
    <t>Life saving appliances</t>
  </si>
  <si>
    <t>Paper bags </t>
  </si>
  <si>
    <t>Fondos del programa de incentivos industriales ley 188-1942 y ley 203-1997</t>
  </si>
  <si>
    <t>Capacitación de la industria cinematográfica local por la ley 27-2011</t>
  </si>
  <si>
    <t xml:space="preserve">Centro de operaciones seguras (soc) </t>
  </si>
  <si>
    <t>Cajas de cartón</t>
  </si>
  <si>
    <t xml:space="preserve">Manufactura de puertas, tormenteras y ventanas </t>
  </si>
  <si>
    <t>Manufactura de tablas de surf</t>
  </si>
  <si>
    <t>Reciclaje de metales</t>
  </si>
  <si>
    <t xml:space="preserve">Equipos deportivos en metal para areas recreativas </t>
  </si>
  <si>
    <t xml:space="preserve">Calentadores para duchas y de linea </t>
  </si>
  <si>
    <t>Servicios de transportación aérea, marítima, distribución y logística doméstica e internacional</t>
  </si>
  <si>
    <t>"call center, business process outsourcing, direct marketing, telemarketing", así como servicios de consultoría a mercados fuera de pr.</t>
  </si>
  <si>
    <t>Productos farmacéuticos</t>
  </si>
  <si>
    <t>Manufactura de impresos</t>
  </si>
  <si>
    <t>Manufactura de productos de belleza</t>
  </si>
  <si>
    <t>Elaboración de productos lácteos y bebidas refirgeradas</t>
  </si>
  <si>
    <t xml:space="preserve">Manufactura de dispositivos de recolección, transporte preanalítico para dispositivos médicos </t>
  </si>
  <si>
    <t xml:space="preserve">Lentes de contacto blandos </t>
  </si>
  <si>
    <t>Reciclaje de neumáticos y separación de sus componentes  para procesarlos y convertirlos en materias primas para la venta y manufactura de productos relacionados con el material reciclado</t>
  </si>
  <si>
    <t>Manufactura de ron artesanal</t>
  </si>
  <si>
    <t>Manufactura de cocinas y/o muebles</t>
  </si>
  <si>
    <t>Manufactura de camisas militares de manga larga para varones mediante contrato de manufactura con el departamento de defensa de eua</t>
  </si>
  <si>
    <t>Manufactura de uniformes (camisa y pantalón) para el departamento de seguridad nacional de eua bajo un acuerdo con vanity fair</t>
  </si>
  <si>
    <t xml:space="preserve">Manufactura de bolsas de dormir para militares por contrato con el departamento de defensa de eua </t>
  </si>
  <si>
    <t>Manufactura de productos de repostería</t>
  </si>
  <si>
    <t>Manufactura de lámparas tipo fascias</t>
  </si>
  <si>
    <t>Manufactura de rotulos y relacionados</t>
  </si>
  <si>
    <t>Calentadores solares</t>
  </si>
  <si>
    <t>Manufactura de productos de limpieza industrial</t>
  </si>
  <si>
    <t xml:space="preserve">Suplidor de materiales y equipo de hospitales, medicos, laboratorios y rayos-x  </t>
  </si>
  <si>
    <t>Manufactura de ron</t>
  </si>
  <si>
    <t>Reciclaje y manufactura de neumaticos desechados</t>
  </si>
  <si>
    <t>Manufactura de lubricantes</t>
  </si>
  <si>
    <t xml:space="preserve">Cajas (metal y plastico) para aire acondicionado de autos  </t>
  </si>
  <si>
    <t xml:space="preserve">Gabinetes de cocina y baños, topes de cocina                                   </t>
  </si>
  <si>
    <t xml:space="preserve">Manufactura de productos de repostería y dulces </t>
  </si>
  <si>
    <t>Confeccion de productos textiles</t>
  </si>
  <si>
    <t>Manufactura del "flight deck trouser" mediante un  contrato de manufactura con el departamento de defensa de eua</t>
  </si>
  <si>
    <t xml:space="preserve">Filtros de membrana para industria farmaceutica     </t>
  </si>
  <si>
    <t xml:space="preserve">Cateteres y otros equipos cardiovasculares      </t>
  </si>
  <si>
    <t>Equipos eléctricos, piezas de metal y accesorios</t>
  </si>
  <si>
    <t>Manufactura del " molle 4000 rucksack $ related components " para el departmento de defensa de eua</t>
  </si>
  <si>
    <t>Manufactura del "fuel  handler coverall" mediante contrato con el departamento de defesa de eua.</t>
  </si>
  <si>
    <t xml:space="preserve">Equipos para soluciones intravenosas                                            </t>
  </si>
  <si>
    <t>Ayudar a clientes y pacientes  en los ee.uu. Y todos sus territorios. Exportando servicios desde puerto rico.</t>
  </si>
  <si>
    <t>Artesanía</t>
  </si>
  <si>
    <t>Procesamiento de productos cárnicos, pescado,salsas y aperitivos</t>
  </si>
  <si>
    <t>Elaboración de postres congelados, helados y sorbet</t>
  </si>
  <si>
    <t>Procesamiento de huevos de mesa</t>
  </si>
  <si>
    <t>Reciclaje de aceite y productos relacionados</t>
  </si>
  <si>
    <t>Manufactura de productos derivados de la pana y otras viandas</t>
  </si>
  <si>
    <t xml:space="preserve">Impresos flexograficos     </t>
  </si>
  <si>
    <t>Manufactura de cervezas artesanales</t>
  </si>
  <si>
    <t>Manufactura de plasticos</t>
  </si>
  <si>
    <t>14to festival del frío</t>
  </si>
  <si>
    <t xml:space="preserve">Pieza termoplasticas de alta tecnologia </t>
  </si>
  <si>
    <t>Costura</t>
  </si>
  <si>
    <t>Manufactura de bebidas alcohólicas y manufactura de alimentos</t>
  </si>
  <si>
    <t>Manufactura de estructuras en acero</t>
  </si>
  <si>
    <t xml:space="preserve">Hamburguesas, especies, sopas y sofritos </t>
  </si>
  <si>
    <t>Manufactura de bebidas alcohólicas de varios sabores</t>
  </si>
  <si>
    <t>Lift-instituto nacional de innovación en manufactura</t>
  </si>
  <si>
    <r>
      <t>Buscador (</t>
    </r>
    <r>
      <rPr>
        <i/>
        <sz val="11"/>
        <color theme="1"/>
        <rFont val="Calibri"/>
        <family val="2"/>
        <scheme val="minor"/>
      </rPr>
      <t>search engine</t>
    </r>
    <r>
      <rPr>
        <sz val="11"/>
        <color theme="1"/>
        <rFont val="Calibri"/>
        <family val="2"/>
        <scheme val="minor"/>
      </rPr>
      <t>) que proteje la privacidad de sus usuarios</t>
    </r>
  </si>
  <si>
    <t>Manufactura de muebles , topes de cocina y baños</t>
  </si>
  <si>
    <t>Manufactura por contrato de impresión 3d en metal a las empresas de aeroespacial y dispositivos médicos</t>
  </si>
  <si>
    <t xml:space="preserve">Almohadas, colchas, telas acojinadas, cojines, sabanas, ropa de mujer y bebe </t>
  </si>
  <si>
    <t>Manufactura por contrato con el departamento de defensa de eua de uniformes militares de trabajo para la marina</t>
  </si>
  <si>
    <t>Lubricantes para vehiculos y equipo pesado</t>
  </si>
  <si>
    <t>Cableria para autos</t>
  </si>
  <si>
    <t>Dulces típicos y snacks saludables</t>
  </si>
  <si>
    <t>Manufactura de matress y productos textiles</t>
  </si>
  <si>
    <t>Torrefaccion de cafe</t>
  </si>
  <si>
    <t>Cortinas y productos tapizados</t>
  </si>
  <si>
    <t>Puertas, ventanas, "screens"</t>
  </si>
  <si>
    <t>Elaboracion de empanadas argentinas</t>
  </si>
  <si>
    <t>Granja ras (recirculation aquaculture system) en tierra</t>
  </si>
  <si>
    <t>Desarrollo de software</t>
  </si>
  <si>
    <t>Festival - la ruta, festival urbano</t>
  </si>
  <si>
    <t>Plataforma para generar nft y mercadearlas</t>
  </si>
  <si>
    <t>Detergentes</t>
  </si>
  <si>
    <t>Venta de comida en food truck</t>
  </si>
  <si>
    <t>Manufactura de dispositivo medico de terapia cardiaca (pace maker)</t>
  </si>
  <si>
    <t>Costura de ropa militar y productos relacionados para el departamento de la defensa</t>
  </si>
  <si>
    <t>Servicios profesionales de ingeniería y mantenimiento integrado para la industria farmacéutica y química, hospitales, manufactura y comercial</t>
  </si>
  <si>
    <t>Acopio y procesamiento de metales ferrosos y no ferrosos</t>
  </si>
  <si>
    <t>La empresa ofrece servicios de consultoría; tales como validación, cumplimiento de calidad, manejo de proyectos y consultoria en asuntos regulatorios para las empresas de los sectores de farmacéuticas, dispositivos médicios, alimentos, entre otros, regulados por la administración de drogas y alimentos</t>
  </si>
  <si>
    <t>Exhibición urbanolnd</t>
  </si>
  <si>
    <t>Construcción de un centro de respuesta y recuperación de negocios y expansión de la incubadora inova</t>
  </si>
  <si>
    <t xml:space="preserve">Ferias de servicios, enlace programático relacionado con el desarrollo empresarial y profesional de jóvenes, evento joven destacado municipal </t>
  </si>
  <si>
    <t>Producción esta isla</t>
  </si>
  <si>
    <t>Muebles y gabinetes de cocina</t>
  </si>
  <si>
    <t>Operacion de cultivo en sistema hidroponico y manufactura de productos de valor anadido de cosecha producida en la finca</t>
  </si>
  <si>
    <t>Rectificador de alcohol para consumo</t>
  </si>
  <si>
    <t>Manufactura de piezas customizadas en difrentes metales</t>
  </si>
  <si>
    <t>Lavanderia especializada para farmaceuticas, oficinas medicas y laboratorios y hospitales</t>
  </si>
  <si>
    <t>Manufactura de detergentes y productos automotrices</t>
  </si>
  <si>
    <t>Madera (talla de aves)</t>
  </si>
  <si>
    <t>Cuero (accesorios), coco y madera (calado)</t>
  </si>
  <si>
    <t>Manufactura de gabinetes, closets y equipo de baño en madera o pvc</t>
  </si>
  <si>
    <t>Producción de postres sin azucar ni carbohidratos refinados</t>
  </si>
  <si>
    <t>Manufactura de turbos, manifolds</t>
  </si>
  <si>
    <t>Consultoria en tecnologia y desarrollo de programas</t>
  </si>
  <si>
    <t>Protectores de cajas de bolas</t>
  </si>
  <si>
    <t>Oficina de servicios-consultoría legal</t>
  </si>
  <si>
    <t>Oficina de servicios-gestoría</t>
  </si>
  <si>
    <t>Restaurante, cafetería</t>
  </si>
  <si>
    <t>Manufactura, ensamblaje y venta de equipos de distribución eléctrica y automatización</t>
  </si>
  <si>
    <t>Procesamieto de ñame, yautía, batata,uca,calabaza y maíz</t>
  </si>
  <si>
    <t>Manufactura de productos de alambre fabricados manufactura de instrumentos quirúrgicos y médicos investigación y desarrollo en nanotecnología</t>
  </si>
  <si>
    <t>Tecnología smart pcmh (patient centered medical home)</t>
  </si>
  <si>
    <t>Ruta empresarial</t>
  </si>
  <si>
    <t>Renglón de macramé</t>
  </si>
  <si>
    <t>Programa de comercio y exportación-incentivo de rehabilitación de los cascos urbanos</t>
  </si>
  <si>
    <t>Oficina de servicios psicológicos</t>
  </si>
  <si>
    <t>Cereales para el desayuno, arroz con dulce, rosetas de maiz, adobo, cebolla en polvo y otros</t>
  </si>
  <si>
    <t>Agricultura - recao, frutas, albahaca y acerolas</t>
  </si>
  <si>
    <t>R&amp;d- new therapies for endometriosis</t>
  </si>
  <si>
    <t>Productos farmaceuticos</t>
  </si>
  <si>
    <t>Manufactura de helados de frutas naturales</t>
  </si>
  <si>
    <t>Control de inventario, logistica y transportacion de varias empresas</t>
  </si>
  <si>
    <t>Manufactura de comidas saludables congeladas</t>
  </si>
  <si>
    <t>Sofrito y especies</t>
  </si>
  <si>
    <t>Desarrollo de plataforma de análisis de datos de salud (software), clinic lynk</t>
  </si>
  <si>
    <t>Salchillas de pollo</t>
  </si>
  <si>
    <t>Elaboracion de pan</t>
  </si>
  <si>
    <t>Manufactura de puertas, ventanas, accesorios y productos relacionados para uso residencial, comercial e industrial bajo los códigos de pr de la nueva construcción</t>
  </si>
  <si>
    <t>Manufactura de pan, crutones, flan, tortilla española y escabeche de pana</t>
  </si>
  <si>
    <t>Manufactura de panaes semi artesanales y sus variedades</t>
  </si>
  <si>
    <t>Manufactura de barras, bombones y otros productos de chocolate</t>
  </si>
  <si>
    <t>Bebidas y alimentos</t>
  </si>
  <si>
    <t>Hidroponico cultivo de lechuga y cilantrillo</t>
  </si>
  <si>
    <t>Academia educativa</t>
  </si>
  <si>
    <t>Manufactura de piezas customizadas en diferentes metales</t>
  </si>
  <si>
    <t>Elaboracion de cervezas y maltas</t>
  </si>
  <si>
    <t>Producción de impresos</t>
  </si>
  <si>
    <t>Chicharrones volaos, panes, bizcochos y otros productos</t>
  </si>
  <si>
    <t>Estancia de investigación científica para dos estudiantes - universidad complutense de madrid</t>
  </si>
  <si>
    <t>Celebración del mes de la juventud</t>
  </si>
  <si>
    <t>Fiestas de san antonio de padua</t>
  </si>
  <si>
    <t>Plataforma aware app</t>
  </si>
  <si>
    <t>Julio, mes del artesano 2023</t>
  </si>
  <si>
    <t>Escuela empresarial</t>
  </si>
  <si>
    <t>Investigación y desarrollo de máquinas fresadoras, mejor conocidas como la tecnología cnc (control numérico computarizado). Reingeniería de los modelos de fresadores existentes.</t>
  </si>
  <si>
    <t>Material de empaque para la industria de alimentos</t>
  </si>
  <si>
    <t>Apoyo a las pymes</t>
  </si>
  <si>
    <t>Programa de capacitación a emprendedores iniciando su empresa</t>
  </si>
  <si>
    <t>Compra de computadoras para "gaming room"</t>
  </si>
  <si>
    <t>Turismo (pista gokarts)</t>
  </si>
  <si>
    <t>Otros (salud)</t>
  </si>
  <si>
    <t>Otros (belleza)</t>
  </si>
  <si>
    <t>Deporte hípico</t>
  </si>
  <si>
    <t>Chocolate en barra</t>
  </si>
  <si>
    <t>Productos dentales, retenedor de dientes</t>
  </si>
  <si>
    <t>Participación en la xiv bienal de florencia, italia</t>
  </si>
  <si>
    <r>
      <t>Pareo de fondos requerido bajo la subvención concedida (</t>
    </r>
    <r>
      <rPr>
        <i/>
        <sz val="11"/>
        <color theme="1"/>
        <rFont val="Calibri"/>
        <family val="2"/>
        <scheme val="minor"/>
      </rPr>
      <t>grant</t>
    </r>
    <r>
      <rPr>
        <sz val="11"/>
        <color theme="1"/>
        <rFont val="Calibri"/>
        <family val="2"/>
        <scheme val="minor"/>
      </rPr>
      <t>) por el nist-mep (año fiscal 2023-2024)</t>
    </r>
  </si>
  <si>
    <t>Vigésimo certamen de talla a la virgen del rosario</t>
  </si>
  <si>
    <t>Paletas de helados de frutas</t>
  </si>
  <si>
    <t>Participación en el décimo séptimo festival de puerto rico en texas</t>
  </si>
  <si>
    <t>Talleres renglones de cuero y talla en madera</t>
  </si>
  <si>
    <t>Trigésimo octavo festival del plátano</t>
  </si>
  <si>
    <t>Acero estructural y piezas</t>
  </si>
  <si>
    <t>Instalación de facilidades de mantenimiento de la línea de jetblue</t>
  </si>
  <si>
    <t>Consultor de servicios (accounting, real estate and management)</t>
  </si>
  <si>
    <t>Medical spa dedicado al cuidado de la piel, depilaciones faciales por laser, tratamientos e inyecciones</t>
  </si>
  <si>
    <t>Agencia de branding de diseños</t>
  </si>
  <si>
    <t>Panadería y repostería</t>
  </si>
  <si>
    <t>Academia de bellas artes</t>
  </si>
  <si>
    <t>53 festival nacional indígena 2023</t>
  </si>
  <si>
    <t>Vino fermentado de mosto de miel</t>
  </si>
  <si>
    <t>Servicio de box de crossfit</t>
  </si>
  <si>
    <t>Representación de reclamantes en casos de seguro social por incapacidad</t>
  </si>
  <si>
    <t>Corte de todos los componentes y manufactura de "army men long sleeve dress shirt"</t>
  </si>
  <si>
    <t>Corte de todos los componentes y manufactura del " army white v-neck undershirt'</t>
  </si>
  <si>
    <t>Corte de todos los componentes y manufactura de "army white &amp; blue crew-neck undershirt"</t>
  </si>
  <si>
    <t xml:space="preserve">Restaurantes subway </t>
  </si>
  <si>
    <t>2024-000678</t>
  </si>
  <si>
    <t>FIE60-2023-2024-0149</t>
  </si>
  <si>
    <t>2024-000671</t>
  </si>
  <si>
    <t>FIE60-2023-2024-0143</t>
  </si>
  <si>
    <t>2024-000667</t>
  </si>
  <si>
    <t>2024-000644</t>
  </si>
  <si>
    <t>2024-000649</t>
  </si>
  <si>
    <t>2024-000654</t>
  </si>
  <si>
    <t>2024-000630</t>
  </si>
  <si>
    <t>2024-000633</t>
  </si>
  <si>
    <t>2024-000634</t>
  </si>
  <si>
    <t>KARINA BAKERY, INC.</t>
  </si>
  <si>
    <t>FRIENDS OF PUERTO RICO CORP.</t>
  </si>
  <si>
    <t>READY PROMO SOLUTIONS</t>
  </si>
  <si>
    <t>CRIOLITE STORES LLC</t>
  </si>
  <si>
    <t>LA CAUSA LLC</t>
  </si>
  <si>
    <t>ZEP CORP Y/O BARRIO PIZZERIA</t>
  </si>
  <si>
    <t>CULEBRA LITTLE ISLAND STORE &amp; CAFE CORP</t>
  </si>
  <si>
    <t>RR MARKET, INC.</t>
  </si>
  <si>
    <t>PREMIUM CUTS LLC</t>
  </si>
  <si>
    <t>CULEBRA</t>
  </si>
  <si>
    <t>Restaurante con salon</t>
  </si>
  <si>
    <t>Otros</t>
  </si>
  <si>
    <t>Empresa para la gerencia de proyectos financiados con Fondos Federales o Estatales</t>
  </si>
  <si>
    <t>Venta al detal de alimentos saludables</t>
  </si>
  <si>
    <t>Uniformes y Bordados, Textiles, Serigrafia, Trabajos de Creación y Digitalización de Artes</t>
  </si>
  <si>
    <t>Centros de Emprendimientos para la Mujer</t>
  </si>
  <si>
    <t>Gelatina y productos de repostería</t>
  </si>
  <si>
    <t>2023-002313-A</t>
  </si>
  <si>
    <t>2024-000244-A</t>
  </si>
  <si>
    <t>FIE60-2023-2024-0134</t>
  </si>
  <si>
    <t>2024-000661</t>
  </si>
  <si>
    <t>2024-000669</t>
  </si>
  <si>
    <t>FIE60-2023-2024-0151</t>
  </si>
  <si>
    <t>2024-000673</t>
  </si>
  <si>
    <t>FIE60-2023-2024-0150</t>
  </si>
  <si>
    <t>2024-000674</t>
  </si>
  <si>
    <t>FIE60-2023-2024-0102</t>
  </si>
  <si>
    <t>2024-000676</t>
  </si>
  <si>
    <t>FIE60-2023-2024-0103</t>
  </si>
  <si>
    <t>2024-000677</t>
  </si>
  <si>
    <t>FIE60-2023-2024-0144</t>
  </si>
  <si>
    <t>2024-000689</t>
  </si>
  <si>
    <t>AJS PIZZA, INC.</t>
  </si>
  <si>
    <t>SKALAR PHARMA LLC</t>
  </si>
  <si>
    <t>POWER PRECAST PRODUCTS CORP.</t>
  </si>
  <si>
    <t>CARLOS BELTRAN BASEBALL ACADEMY, INC.</t>
  </si>
  <si>
    <t>FIE60-2023-2024-0148</t>
  </si>
  <si>
    <t>FIE60-2023-2024-0147</t>
  </si>
  <si>
    <t>FIE60-2023-2024-0081</t>
  </si>
  <si>
    <t>FIE60-2023-2024-0080</t>
  </si>
  <si>
    <t>2024-000622</t>
  </si>
  <si>
    <t>2024-000621</t>
  </si>
  <si>
    <t>2024-000620</t>
  </si>
  <si>
    <t>2024-000619</t>
  </si>
  <si>
    <t>2024-000613</t>
  </si>
  <si>
    <t>2024-000608</t>
  </si>
  <si>
    <t xml:space="preserve">GREIZA M. FELIX AGOSTO </t>
  </si>
  <si>
    <t xml:space="preserve">CARMEN M. DIAZ COLON </t>
  </si>
  <si>
    <t>JEAN SANTIAGO FELICIANO</t>
  </si>
  <si>
    <t>ALPLA CARIBE, INC.</t>
  </si>
  <si>
    <t>Proyecto Primera Escuela Empresarial</t>
  </si>
  <si>
    <t>Confección de todo tipo de postres</t>
  </si>
  <si>
    <t>Centro Integral de Estética Facial y Corporal.</t>
  </si>
  <si>
    <t xml:space="preserve">Productos misceláneos de alimentos </t>
  </si>
  <si>
    <t>Productos de goma y plástico</t>
  </si>
  <si>
    <t xml:space="preserve">Drogas y preparaciones farmacéuticas </t>
  </si>
  <si>
    <t xml:space="preserve">Otros productos químicos </t>
  </si>
  <si>
    <t>Manufactura miscelánea</t>
  </si>
  <si>
    <t>2024</t>
  </si>
  <si>
    <t>2024-000784</t>
  </si>
  <si>
    <t>FIE60-2023-2024-0051</t>
  </si>
  <si>
    <t>2024-000777</t>
  </si>
  <si>
    <t>2024-000776</t>
  </si>
  <si>
    <t>2024-000775</t>
  </si>
  <si>
    <t>2024-000774</t>
  </si>
  <si>
    <t>2024-000773</t>
  </si>
  <si>
    <t>2024-000771</t>
  </si>
  <si>
    <t>2024-000770</t>
  </si>
  <si>
    <t>2024-000767</t>
  </si>
  <si>
    <t>2024-000762</t>
  </si>
  <si>
    <t>2024-000761</t>
  </si>
  <si>
    <t>2024-000760</t>
  </si>
  <si>
    <t>2024-000752</t>
  </si>
  <si>
    <t>FIE60-2023-2024-0053</t>
  </si>
  <si>
    <t>2024-000750</t>
  </si>
  <si>
    <t>FIE60-2023-2024-0164</t>
  </si>
  <si>
    <t>2024-000749</t>
  </si>
  <si>
    <t>FIE60-2023-2024-0163</t>
  </si>
  <si>
    <t>2024-000748</t>
  </si>
  <si>
    <t>FIE60-2023-2024-0172</t>
  </si>
  <si>
    <t>2024-000747</t>
  </si>
  <si>
    <t>FIE60-2023-2024-0158</t>
  </si>
  <si>
    <t>2024-000746</t>
  </si>
  <si>
    <t>FIE60-2023-2024-0157</t>
  </si>
  <si>
    <t>2024-000745</t>
  </si>
  <si>
    <t>FIE60-2023-2024-0169</t>
  </si>
  <si>
    <t>2024-000744</t>
  </si>
  <si>
    <t>FIE60-2023-2024-0168</t>
  </si>
  <si>
    <t>2024-000742</t>
  </si>
  <si>
    <t>FIE60-2023-2024-0069</t>
  </si>
  <si>
    <t>2024-000741</t>
  </si>
  <si>
    <t>FIE60-2023-2024-0070</t>
  </si>
  <si>
    <t>2024-000739</t>
  </si>
  <si>
    <t>2024-000738</t>
  </si>
  <si>
    <t>2024-000737</t>
  </si>
  <si>
    <t>FIE60-2023-2024-0068</t>
  </si>
  <si>
    <t>2024-000736</t>
  </si>
  <si>
    <t>2024-000732</t>
  </si>
  <si>
    <t>2024-000731</t>
  </si>
  <si>
    <t>2024-000730</t>
  </si>
  <si>
    <t>2024-000729</t>
  </si>
  <si>
    <t>2024-000728</t>
  </si>
  <si>
    <t>2024-000727</t>
  </si>
  <si>
    <t>2024-000726</t>
  </si>
  <si>
    <t>2024-000717</t>
  </si>
  <si>
    <t>2024-000715</t>
  </si>
  <si>
    <t>FIE60-2023-2024-0052</t>
  </si>
  <si>
    <t>2024-000711</t>
  </si>
  <si>
    <t>COMERIO</t>
  </si>
  <si>
    <t>2024-000763</t>
  </si>
  <si>
    <t>2024-000798</t>
  </si>
  <si>
    <t>Barberia especializada en nitios, tambien se atienden adultos</t>
  </si>
  <si>
    <t>Producción y Distribución de productos agrícolas frescos</t>
  </si>
  <si>
    <t>Oficina de Salud Mental Psicoterapia y Consejería</t>
  </si>
  <si>
    <t>Comercio Al Detal</t>
  </si>
  <si>
    <t>Servicio de expendio de café y alimentos</t>
  </si>
  <si>
    <t>Servicios de Terapia Ocupacional, Habla y Lenquaie y Educativa a Niños de Educación Especial</t>
  </si>
  <si>
    <t>Legales Herencia, Notaría v Agentes de Cierres</t>
  </si>
  <si>
    <t>Servicio de Estética y Venta de Productos</t>
  </si>
  <si>
    <t>Distribución de materiales de construcción y servicio de instalación personalizada de puertas vventanas, sin limitarse a cua lquier negocio liceo</t>
  </si>
  <si>
    <t>Servicio de Contabilidad Consultoría a Negocios</t>
  </si>
  <si>
    <t>Servicios de Eventos de Publicidad</t>
  </si>
  <si>
    <t>Servicio de Terapia de Salud Emocional y Menta</t>
  </si>
  <si>
    <t>Servicio de Contabilidad</t>
  </si>
  <si>
    <t>El Evento</t>
  </si>
  <si>
    <t>Película "La Pecera"</t>
  </si>
  <si>
    <t>Incentivo de Mercadeo empresas NO elegibles a decretos - PCE</t>
  </si>
  <si>
    <t>Elaboracion de postrees al por mayor</t>
  </si>
  <si>
    <t>Elaboracion de panes artesanales</t>
  </si>
  <si>
    <t>Manufactura de jugos de Frutas</t>
  </si>
  <si>
    <t>Servicio de Consultoria Administrativa. Apoyo technico de informatica y desarrollo de software</t>
  </si>
  <si>
    <t>Manufactura de gabinetes, escritorios, vanities</t>
  </si>
  <si>
    <t>Documental  "El Trompetista"</t>
  </si>
  <si>
    <t>Escuela Taller de Artesanías de Toa Baja</t>
  </si>
  <si>
    <t>KD MANAGEMENT LLC</t>
  </si>
  <si>
    <t>LUSCA LLC</t>
  </si>
  <si>
    <t>CANICA LLC</t>
  </si>
  <si>
    <t>CLOSING ATTORNEYS PCS</t>
  </si>
  <si>
    <t>LEYTON COLON LLC</t>
  </si>
  <si>
    <t>STRAW HAT LLC</t>
  </si>
  <si>
    <t>JOEL RODRIGUEZ FERNANDEZ</t>
  </si>
  <si>
    <t>AMAZE AND STRONG ENTERPRISES</t>
  </si>
  <si>
    <t>SOTO MELENDEZ ENTERPRISES LLC</t>
  </si>
  <si>
    <t>AGROEMPRESAS ATABEY, INC.</t>
  </si>
  <si>
    <t>TRANSFORMA FAMILY GROUP THERAPY, LLC</t>
  </si>
  <si>
    <t>E MARINO ACCOUNTING CORP.</t>
  </si>
  <si>
    <t>MINDFUL ZOUL PSYCHOSOCIAL SERVICES LLC</t>
  </si>
  <si>
    <t>JAZMIN FIGUEROA MARTINEZ</t>
  </si>
  <si>
    <t>BAGUETTES DE PUERTO RICO LLC</t>
  </si>
  <si>
    <t>GUAYABA TOSTADA, LLC</t>
  </si>
  <si>
    <t>JJ KITCHEN, LLC</t>
  </si>
  <si>
    <t>ALLIANCE FRANCAISE DE PUERTO RICO, INC.</t>
  </si>
  <si>
    <t>EMILY J. RIVERA RAMIREZ</t>
  </si>
  <si>
    <t>CHRISTIAN J. OTERO GARCIA</t>
  </si>
  <si>
    <t>DELMARIE M. RIVERA RODRIGUEZ</t>
  </si>
  <si>
    <t>NOSTROM MOVING IMAGES GROUP CORP.</t>
  </si>
  <si>
    <t>CORAL ALEXANDRA CASTRO OLMO</t>
  </si>
  <si>
    <t>FINCA EL SOL DE JOAQUIN, INC.</t>
  </si>
  <si>
    <t>TERAPIAME C.P.</t>
  </si>
  <si>
    <t>IAN C. FELICIANO MENDOZA</t>
  </si>
  <si>
    <t>CLAUDIA LYMAR DELGADO GARCIA</t>
  </si>
  <si>
    <t>MARCOS A. AROCHA LOPEZ</t>
  </si>
  <si>
    <t>GABRIELA FALCON ROJAS</t>
  </si>
  <si>
    <t>YASET A. ESTRADA CORCINO</t>
  </si>
  <si>
    <t>JOMAR A. HIDALGO AGOSTO</t>
  </si>
  <si>
    <t>2024-000801</t>
  </si>
  <si>
    <t>WILFREDO A. CARDONA RODRIGUEZ</t>
  </si>
  <si>
    <t>2024-000802</t>
  </si>
  <si>
    <t>TANISHKA N. CRUZ SIERRA</t>
  </si>
  <si>
    <t>2024-000803</t>
  </si>
  <si>
    <t>SEBASTIAN A. ORTIZ TORRES</t>
  </si>
  <si>
    <t>2024-000804</t>
  </si>
  <si>
    <t>JAAZIEL CARABALLO OTERO</t>
  </si>
  <si>
    <t>2024-000805</t>
  </si>
  <si>
    <t>BETZAIDA M. PEREZ BURGOS</t>
  </si>
  <si>
    <t>FUNDACION SILA M. CALDERON, INC.</t>
  </si>
  <si>
    <t>FIE60-2023-2024-0160</t>
  </si>
  <si>
    <t>2024-000807</t>
  </si>
  <si>
    <t>GUIDANT PUERTO RICO BV</t>
  </si>
  <si>
    <t>2024-000810</t>
  </si>
  <si>
    <t>RAYMOND NATER PEREZ</t>
  </si>
  <si>
    <t>2024-000811</t>
  </si>
  <si>
    <t>MOISES TOLLINCHI PADILLA</t>
  </si>
  <si>
    <t>2024-000812</t>
  </si>
  <si>
    <t>2024-000813</t>
  </si>
  <si>
    <t>2024-000814</t>
  </si>
  <si>
    <t>LISEDIA RONDON REYMUNDI</t>
  </si>
  <si>
    <t>2024-000815</t>
  </si>
  <si>
    <t>2024-000816</t>
  </si>
  <si>
    <t>2024-000818</t>
  </si>
  <si>
    <t>RIOS GARCIA, MARITSSA</t>
  </si>
  <si>
    <t>2024-000819</t>
  </si>
  <si>
    <t>NORMA GOMEZ RODRIGUEZ</t>
  </si>
  <si>
    <t>2024-000820</t>
  </si>
  <si>
    <t>2024-000821</t>
  </si>
  <si>
    <t>RAMON E. RIVERA CALIZ</t>
  </si>
  <si>
    <t>2024-000822</t>
  </si>
  <si>
    <t>GEORGE ROMERO NAVEDO</t>
  </si>
  <si>
    <t>2024-000823</t>
  </si>
  <si>
    <t>RIVERA ORTIZ, ANA W.</t>
  </si>
  <si>
    <t>2024-000824</t>
  </si>
  <si>
    <t>2024-000826</t>
  </si>
  <si>
    <t>NICOLE M. ISIDOR PAGAN</t>
  </si>
  <si>
    <t>2024-000831</t>
  </si>
  <si>
    <t>2024-000833</t>
  </si>
  <si>
    <t>DMC MONOLITHIC, INC.</t>
  </si>
  <si>
    <t>2024-000838</t>
  </si>
  <si>
    <t>MAELIS M. LUGO RODRIGUEZ</t>
  </si>
  <si>
    <t>2024-000841</t>
  </si>
  <si>
    <t>2024-000842</t>
  </si>
  <si>
    <t>2024-000843</t>
  </si>
  <si>
    <t>YAMILKA GARCIA MEJIAS</t>
  </si>
  <si>
    <t>FIE60-2023-2024-0218</t>
  </si>
  <si>
    <t>2024-000844</t>
  </si>
  <si>
    <t>INFOSENSE, LLC</t>
  </si>
  <si>
    <t>FIE60-2023-2024-0225</t>
  </si>
  <si>
    <t>GSD MARBLE, INC.</t>
  </si>
  <si>
    <t>FIE60-2023-2024-0226</t>
  </si>
  <si>
    <t>2024-000847</t>
  </si>
  <si>
    <t>2024-000849</t>
  </si>
  <si>
    <t>IAN MARCO RIVERA LOPEZ</t>
  </si>
  <si>
    <t>2024-000851</t>
  </si>
  <si>
    <t>LATINA TASTE MAKER LLC</t>
  </si>
  <si>
    <t>2024-000852</t>
  </si>
  <si>
    <t>2024-000853</t>
  </si>
  <si>
    <t>2024-000854</t>
  </si>
  <si>
    <t>YANIREE OLMEDA ALEJANDRO</t>
  </si>
  <si>
    <t>2024-000855</t>
  </si>
  <si>
    <t>2024-000856</t>
  </si>
  <si>
    <t>2024-000857</t>
  </si>
  <si>
    <t>IRIS RODRIGUEZ FERNANDEZ</t>
  </si>
  <si>
    <t>2024-000860</t>
  </si>
  <si>
    <t>BIANCA S. NEGRON MARCANO</t>
  </si>
  <si>
    <t>2024-000861</t>
  </si>
  <si>
    <t>ANDREA SOFIA ROSARIO ROMAN</t>
  </si>
  <si>
    <t>2024-000862</t>
  </si>
  <si>
    <t>DAVID A. BAEZ BRAVO</t>
  </si>
  <si>
    <t>2024-000866</t>
  </si>
  <si>
    <t>CARLOS R. RITTER GARCIA</t>
  </si>
  <si>
    <t>2024-000867</t>
  </si>
  <si>
    <t>MARISA CARRASQUILLO COLON</t>
  </si>
  <si>
    <t>2024-000871</t>
  </si>
  <si>
    <t>PAULA MORAGON CARRERO</t>
  </si>
  <si>
    <t>2024-000872</t>
  </si>
  <si>
    <t>2024-000873</t>
  </si>
  <si>
    <t>2024-000874</t>
  </si>
  <si>
    <t>ISANLERIE NADUIS GONZALEZ VEGA</t>
  </si>
  <si>
    <t>2024-000875</t>
  </si>
  <si>
    <t>CLARYMAR FIGUEROA VEGA</t>
  </si>
  <si>
    <t>2024-000876</t>
  </si>
  <si>
    <t>PHILLIP ESCOBAR JUNG</t>
  </si>
  <si>
    <t>Escuela Taller Artesanal (Escuela) de Guaynabo</t>
  </si>
  <si>
    <t>Talleres Artesanales Plaza</t>
  </si>
  <si>
    <t>La Llamada</t>
  </si>
  <si>
    <t>Manufactura de impresos digitales y productos relacionados</t>
  </si>
  <si>
    <t>Manufactura de topes en cuarzo y granito para cocinas y barios</t>
  </si>
  <si>
    <t>Hogar de Envejecientes y Salud Mental</t>
  </si>
  <si>
    <t>Escuela taller de artesanías, Región Portal del Este</t>
  </si>
  <si>
    <t>Trigésima Sexta (36) edición del Festival de Las Marías en Honor a la China Dulce</t>
  </si>
  <si>
    <t>Séptimo Certamen de Talla en madera en honor a San José, Patrón de Aibonito</t>
  </si>
  <si>
    <t>La Línea Imaginaria</t>
  </si>
  <si>
    <t xml:space="preserve">Centro de llamadas </t>
  </si>
  <si>
    <t>Contract / Cancelled</t>
  </si>
  <si>
    <t>FIE60-2023-2024-0145</t>
  </si>
  <si>
    <t>2024-000712</t>
  </si>
  <si>
    <t>FIE60-2023-2024-0255</t>
  </si>
  <si>
    <t>2024-000787</t>
  </si>
  <si>
    <t>FIE60-2023-2024-0256</t>
  </si>
  <si>
    <t>2024-000788</t>
  </si>
  <si>
    <t>FIE60-2023-2024-0254</t>
  </si>
  <si>
    <t>2024-000786</t>
  </si>
  <si>
    <t>2024-000793</t>
  </si>
  <si>
    <t>BOREALIS, LLC</t>
  </si>
  <si>
    <t>2024-000836</t>
  </si>
  <si>
    <t>PUERTO RICO QUEER FILMFEST, INC.</t>
  </si>
  <si>
    <t>FIE60-2023-2024-0224</t>
  </si>
  <si>
    <t>2024-000845</t>
  </si>
  <si>
    <t>FIE60-2023-2024-0180</t>
  </si>
  <si>
    <t>2024-000884</t>
  </si>
  <si>
    <t>FIE60-2023-2024-0236</t>
  </si>
  <si>
    <t>2024-000885</t>
  </si>
  <si>
    <t>KC AND MORE LLC</t>
  </si>
  <si>
    <t>FIE60-2023-2024-0184</t>
  </si>
  <si>
    <t>2024-000858</t>
  </si>
  <si>
    <t>FIE60-2023-2024-0185</t>
  </si>
  <si>
    <t>2024-000859</t>
  </si>
  <si>
    <t>FIE60-2023-2024-0221</t>
  </si>
  <si>
    <t>2024-000887</t>
  </si>
  <si>
    <t>SEMILA, LLC</t>
  </si>
  <si>
    <t>FIE60-2023-2024-0220</t>
  </si>
  <si>
    <t>2024-000888</t>
  </si>
  <si>
    <t>2024-000892</t>
  </si>
  <si>
    <t>GABRIEL S MEDINA ORTIZ</t>
  </si>
  <si>
    <t>2024-000893</t>
  </si>
  <si>
    <t>GLAM GROUP LLC</t>
  </si>
  <si>
    <t>2024-000894</t>
  </si>
  <si>
    <t>INNET CONNECTION INCORPORATED</t>
  </si>
  <si>
    <t>2024-000895</t>
  </si>
  <si>
    <t>GRUA ANDINO, INC.</t>
  </si>
  <si>
    <t>2024-000896</t>
  </si>
  <si>
    <t>BEAUTIFUL SMILE DENTAL OFFICE LLC</t>
  </si>
  <si>
    <t>2024-000897</t>
  </si>
  <si>
    <t>RMD PHARMACEUTICAL CORP.</t>
  </si>
  <si>
    <t>2024-000898</t>
  </si>
  <si>
    <t>BUSINESS ATELIER, LLC</t>
  </si>
  <si>
    <t>2024-000899</t>
  </si>
  <si>
    <t>ANGEL L VILLEGAS TORRES</t>
  </si>
  <si>
    <t>2024-000900</t>
  </si>
  <si>
    <t>PERFECT BROWS DESIGN PR</t>
  </si>
  <si>
    <t>2024-000903</t>
  </si>
  <si>
    <t>MAYRA J. FALCON ALVAREZ</t>
  </si>
  <si>
    <t>2024-000914</t>
  </si>
  <si>
    <t>JOSE A RIVERA TOLEDO</t>
  </si>
  <si>
    <t>2024-000919</t>
  </si>
  <si>
    <t>JACKELINE MARTINO CABRERA H/N/C JACKELINE MARTINO PERMANENT MAKE UP &amp; BEAUTY</t>
  </si>
  <si>
    <t>2024-000920</t>
  </si>
  <si>
    <t>MS WIFI ZONE, INC.</t>
  </si>
  <si>
    <t>FIE60-2023-2024-0210</t>
  </si>
  <si>
    <t>2024-000922</t>
  </si>
  <si>
    <t>INICIATIVA TECNOLOGICA CENTRO ORIENTAL</t>
  </si>
  <si>
    <t>FIE60-2023-2024-0263</t>
  </si>
  <si>
    <t>2024-000925</t>
  </si>
  <si>
    <t>FIE60-2023-2024-0273</t>
  </si>
  <si>
    <t>2024-000926</t>
  </si>
  <si>
    <t>FIE60-2023-2024-0233</t>
  </si>
  <si>
    <t>2024-000927</t>
  </si>
  <si>
    <t>FIE60-2023-2024-0234</t>
  </si>
  <si>
    <t>2024-000928</t>
  </si>
  <si>
    <t>FIE60-2023-2024-0235</t>
  </si>
  <si>
    <t>2024-000929</t>
  </si>
  <si>
    <t>FIE60-2023-2024-0046</t>
  </si>
  <si>
    <t>2024-000191-A</t>
  </si>
  <si>
    <t>DIRECTLAB, LLC H/N/C LABBGO</t>
  </si>
  <si>
    <t>FIE60-2023-2024-0257</t>
  </si>
  <si>
    <t>2024-000940</t>
  </si>
  <si>
    <t>FIE60-2023-2024-0240</t>
  </si>
  <si>
    <t>2024-000939</t>
  </si>
  <si>
    <t>2024-000455-A</t>
  </si>
  <si>
    <t>2024-000942</t>
  </si>
  <si>
    <t>2024-000943</t>
  </si>
  <si>
    <t>FACILITO CAR KEYS LLC</t>
  </si>
  <si>
    <t>2024-000944</t>
  </si>
  <si>
    <t>THRIVE HEALING LLC D/B/A THRIVE CHIROPRATIC</t>
  </si>
  <si>
    <t>2024-000946</t>
  </si>
  <si>
    <t>RAFROSS LLC</t>
  </si>
  <si>
    <t>FIE60-2023-2024-0179</t>
  </si>
  <si>
    <t>2024-000968</t>
  </si>
  <si>
    <t>FIE60-2023-2024-0200</t>
  </si>
  <si>
    <t>2023-002226-C</t>
  </si>
  <si>
    <t>FIE60-2023-2024-0175</t>
  </si>
  <si>
    <t>2024-000952</t>
  </si>
  <si>
    <t>FIE60-2023-2024-0201</t>
  </si>
  <si>
    <t>2024-000956</t>
  </si>
  <si>
    <t>2024-000966</t>
  </si>
  <si>
    <t>LIFE HEALTH SOLUTIONS INC</t>
  </si>
  <si>
    <t>2024-000912</t>
  </si>
  <si>
    <t>Largometraje "Era del Silencio"</t>
  </si>
  <si>
    <t>Proyecto fílmico "La Llamada"</t>
  </si>
  <si>
    <t>"Puerto Rico Queer Film Fest 2024"</t>
  </si>
  <si>
    <t>Programa de Comercio y Exportación</t>
  </si>
  <si>
    <t>Servicio de Belleza</t>
  </si>
  <si>
    <t>Servicio de solución integral para necesidad tecnológica</t>
  </si>
  <si>
    <t>Remolques de vehículos</t>
  </si>
  <si>
    <t>Productos v Servicios dentales</t>
  </si>
  <si>
    <t>Servicio de venta de equipo médico v equipo para estetica</t>
  </si>
  <si>
    <t>Servicios de contabilidad, impuestos. recursos humanos. consultoría de desarrollo de negocio acceso a capital</t>
  </si>
  <si>
    <t>Servicios empresariales y sistematización comercial</t>
  </si>
  <si>
    <t>Servicio de Micropigmentación de cejas y talleres a estudiantes</t>
  </si>
  <si>
    <t>Belleza y Micropigmentación</t>
  </si>
  <si>
    <t>Proveedor de servicio de internet (ISP)</t>
  </si>
  <si>
    <t>Servicio de cerrajería para vehículos y casas</t>
  </si>
  <si>
    <t>Quiropráctico</t>
  </si>
  <si>
    <t>Salón de Belleza</t>
  </si>
  <si>
    <t>Evaluaciones médicas, terapias físicas y acupuntura</t>
  </si>
  <si>
    <t>Desarrollo de tecnología de aplicaciones ("software")</t>
  </si>
  <si>
    <t>Manufactura de componentes de acero</t>
  </si>
  <si>
    <t>VIEQUES</t>
  </si>
  <si>
    <t>Manufactura de Ron</t>
  </si>
  <si>
    <t>Drogas y preparaciones farmacéuticas</t>
  </si>
  <si>
    <t>Manufactura de productos textiles para el hogar</t>
  </si>
  <si>
    <t>Fábrica de gabinetes y tapes de cocinas</t>
  </si>
  <si>
    <t>Productos textiles</t>
  </si>
  <si>
    <t xml:space="preserve">Manufactura de Muebles Hogar e Institucional </t>
  </si>
  <si>
    <t>Incentivo de Mercadeo Ley 60-2019</t>
  </si>
  <si>
    <t>Escuela especializada de excelencia academica y atletica</t>
  </si>
  <si>
    <t>Centro de apoyo a emprendedores</t>
  </si>
  <si>
    <t>2023-000971-B</t>
  </si>
  <si>
    <t>MOLECULAR SCIENCE RESEARCH CENTER, INC</t>
  </si>
  <si>
    <t>2024-000188-A</t>
  </si>
  <si>
    <t>ANDENO CO.</t>
  </si>
  <si>
    <t>FIE60-2023-2024-0155</t>
  </si>
  <si>
    <t>2024-000477-A</t>
  </si>
  <si>
    <t>FIE60-2023-2024-0156</t>
  </si>
  <si>
    <t>2024-000478-A</t>
  </si>
  <si>
    <t>FIE60-2023-2024-0050</t>
  </si>
  <si>
    <t>EMPRENDE PR, LLC</t>
  </si>
  <si>
    <t>FIE60-2023-2024-0178</t>
  </si>
  <si>
    <t>2024-000848</t>
  </si>
  <si>
    <t>PHYSICAL THERAPY SERVICES INC</t>
  </si>
  <si>
    <t>2024-000878</t>
  </si>
  <si>
    <t>A MANAGEMENT GROUP PSC</t>
  </si>
  <si>
    <t>2024-000879</t>
  </si>
  <si>
    <t>JOSE RENE MORETA REBOLLO</t>
  </si>
  <si>
    <t>FIE60-2023-2024-0214</t>
  </si>
  <si>
    <t>2024-000882</t>
  </si>
  <si>
    <t>COCKTAIL FACTORY CORP</t>
  </si>
  <si>
    <t>FIE60-2023-2024-0213</t>
  </si>
  <si>
    <t>2024-000883</t>
  </si>
  <si>
    <t>FIE60-2023-2024-0215</t>
  </si>
  <si>
    <t>2024-000886</t>
  </si>
  <si>
    <t>PUERTO RICO CHOCOLATE CORPORATION</t>
  </si>
  <si>
    <t>2024-000890</t>
  </si>
  <si>
    <t>JAVIER A BURGOS QUIRINDONGO</t>
  </si>
  <si>
    <t>2024-000907</t>
  </si>
  <si>
    <t>MARIA J PEREZ PADILLA</t>
  </si>
  <si>
    <t>FIE60-2023-2024-0186</t>
  </si>
  <si>
    <t>2024-000909</t>
  </si>
  <si>
    <t>LATIN FOODS GROUP LLC</t>
  </si>
  <si>
    <t>FIE60-2023-2024-0173</t>
  </si>
  <si>
    <t>2024-000910</t>
  </si>
  <si>
    <t>WJ AUTOMATION &amp; INTEGRATION CORP</t>
  </si>
  <si>
    <t>FIE60-2023-2024-0174</t>
  </si>
  <si>
    <t>2024-000911</t>
  </si>
  <si>
    <t>2024-000923</t>
  </si>
  <si>
    <t>ERMIS Z RAMOS CINTRON</t>
  </si>
  <si>
    <t>2024-000924</t>
  </si>
  <si>
    <t>JACQUELINE A MUNOZ MARTINEZ</t>
  </si>
  <si>
    <t>FIE60-2023-2024-0211</t>
  </si>
  <si>
    <t>2024-000930</t>
  </si>
  <si>
    <t>CARIBBEAN OPHTHALMICS CORP</t>
  </si>
  <si>
    <t>FIE60-2023-2024-0212</t>
  </si>
  <si>
    <t>2024-000931</t>
  </si>
  <si>
    <t>2024-000932</t>
  </si>
  <si>
    <t>WIESNER DISTRIBUTION</t>
  </si>
  <si>
    <t>2024-000934</t>
  </si>
  <si>
    <t>2024-000936</t>
  </si>
  <si>
    <t>THE WAY TO CLEAN LLC</t>
  </si>
  <si>
    <t>FIE60-2023-2024-0274</t>
  </si>
  <si>
    <t>2024-000937</t>
  </si>
  <si>
    <t>LA FINCA DE ABUELO MIGUEL INC</t>
  </si>
  <si>
    <t>FIE60-2023-2024-0275</t>
  </si>
  <si>
    <t>2024-000938</t>
  </si>
  <si>
    <t>2024-000945</t>
  </si>
  <si>
    <t>PAULA MARGARITA HERNANDEZ FONSECA</t>
  </si>
  <si>
    <t>FIE60-2023-2024-0248</t>
  </si>
  <si>
    <t>2024-000948</t>
  </si>
  <si>
    <t>JMC CORP</t>
  </si>
  <si>
    <t>FIE60-2023-2024-0249</t>
  </si>
  <si>
    <t>2024-000949</t>
  </si>
  <si>
    <t>FIE60-2023-2024-0181</t>
  </si>
  <si>
    <t>2024-000950</t>
  </si>
  <si>
    <t>ROYAL LAB LLC</t>
  </si>
  <si>
    <t>FIE60-2023-2024-0182</t>
  </si>
  <si>
    <t>2024-000951</t>
  </si>
  <si>
    <t>FIE60-2023-2024-0285</t>
  </si>
  <si>
    <t>2024-000953</t>
  </si>
  <si>
    <t>2024-000954</t>
  </si>
  <si>
    <t>SEBASTIAN MIGUEL SEGUI CESAN</t>
  </si>
  <si>
    <t>2024-000955</t>
  </si>
  <si>
    <t>NICOLE ANGELIS MARTINEZ MARTINEZ</t>
  </si>
  <si>
    <t>FIE60-2023-2024-0281</t>
  </si>
  <si>
    <t>2024-000963</t>
  </si>
  <si>
    <t>IPR PHARMACEUTICALS, INC</t>
  </si>
  <si>
    <t>FIE60-2023-2024-0282</t>
  </si>
  <si>
    <t>2024-000964</t>
  </si>
  <si>
    <t>2024-000970</t>
  </si>
  <si>
    <t>CALEB J MORALES ROSARIO</t>
  </si>
  <si>
    <t>2024-000971</t>
  </si>
  <si>
    <t>C&amp;C CORPORATION H/N/C LECHONES TO GO</t>
  </si>
  <si>
    <t>2024-000972</t>
  </si>
  <si>
    <t>CARIBBEAN GLOBAL SCHOOL CORPORATION</t>
  </si>
  <si>
    <t>FIE60-2023-2024-0232</t>
  </si>
  <si>
    <t>2024-000973</t>
  </si>
  <si>
    <t>MILTON SEDA H/N/C HYDRO MAS</t>
  </si>
  <si>
    <t>FIE60-2023-2024-0265</t>
  </si>
  <si>
    <t>2024-000974</t>
  </si>
  <si>
    <t>PRODUCTOS DEL ALTO INC</t>
  </si>
  <si>
    <t>FIE60-2023-2024-0270</t>
  </si>
  <si>
    <t>2024-000977</t>
  </si>
  <si>
    <t>FIE60-2023-2024-0276</t>
  </si>
  <si>
    <t>2024-000978</t>
  </si>
  <si>
    <t>FIE60-2023-2024-0286</t>
  </si>
  <si>
    <t>2024-000981</t>
  </si>
  <si>
    <t>RRT DISTRIBUTORS LLC</t>
  </si>
  <si>
    <t>FIE60-2023-2024-0287</t>
  </si>
  <si>
    <t>2024-000982</t>
  </si>
  <si>
    <t>FIE60-2023-2024-0277</t>
  </si>
  <si>
    <t>2024-000983</t>
  </si>
  <si>
    <t>TECHNO PLASTIC INDUSTRIES, INC.</t>
  </si>
  <si>
    <t>FIE60-2023-2024-0246</t>
  </si>
  <si>
    <t>2024-000984</t>
  </si>
  <si>
    <t>FIE60-2023-2024-0247</t>
  </si>
  <si>
    <t>2024-000985</t>
  </si>
  <si>
    <t>FIE60-2023-2024-0293</t>
  </si>
  <si>
    <t>2024-000988</t>
  </si>
  <si>
    <t>FIE60-2023-2024-0294</t>
  </si>
  <si>
    <t>2024-000989</t>
  </si>
  <si>
    <t>2024-000992-A</t>
  </si>
  <si>
    <t>2024-000993</t>
  </si>
  <si>
    <t>JUAN A. RIVERA MENDEZ</t>
  </si>
  <si>
    <t>2024-000994</t>
  </si>
  <si>
    <t>JUAN L. VILLALOBOS JIMENEZ</t>
  </si>
  <si>
    <t>2024-000995</t>
  </si>
  <si>
    <t>PEDRO A RIOS REYES H/N/C RIOS WATER SERVICE</t>
  </si>
  <si>
    <t>2024-000996</t>
  </si>
  <si>
    <t>RAUL COLON SANTIAGO</t>
  </si>
  <si>
    <t>FIE60-2023-2024-0190</t>
  </si>
  <si>
    <t>2024-000999</t>
  </si>
  <si>
    <t>TERUMO PUERTO RICO LLC</t>
  </si>
  <si>
    <t>FIE60-2023-2024-0183</t>
  </si>
  <si>
    <t>2024-001000</t>
  </si>
  <si>
    <t>FIE60-2023-2024-0252</t>
  </si>
  <si>
    <t>2024-001001</t>
  </si>
  <si>
    <t>FIE60-2023-2024-0288</t>
  </si>
  <si>
    <t>2024-001002</t>
  </si>
  <si>
    <t>FIE60-2023-2024-0267</t>
  </si>
  <si>
    <t>2024-001003</t>
  </si>
  <si>
    <t>FIE60-2023-2024-0268</t>
  </si>
  <si>
    <t>2024-001004</t>
  </si>
  <si>
    <t>FIE60-2023-2024-0251</t>
  </si>
  <si>
    <t>2024-001008</t>
  </si>
  <si>
    <t>FIE60-2023-2024-0137</t>
  </si>
  <si>
    <t>2024-001010</t>
  </si>
  <si>
    <t>FABRICA DE PALETAS DE PUERTO RICO INC</t>
  </si>
  <si>
    <t>FIE60-2023-2024-0292</t>
  </si>
  <si>
    <t>2024-001011</t>
  </si>
  <si>
    <t>CERVECERIA TAKABRU LLC</t>
  </si>
  <si>
    <t>2024-001017</t>
  </si>
  <si>
    <t>MAYRA DE LA CRUZ ROSARIO</t>
  </si>
  <si>
    <t>2024-001018</t>
  </si>
  <si>
    <t>VIMARYS RIVERA CACERES</t>
  </si>
  <si>
    <t>2024-001019</t>
  </si>
  <si>
    <t>KELVIN R MERCADO GONZALEZ</t>
  </si>
  <si>
    <t>2024-001020</t>
  </si>
  <si>
    <t>2024-001022</t>
  </si>
  <si>
    <t>THE CREATIVE HUB LLC</t>
  </si>
  <si>
    <t>FIE60-2023-2024-0204</t>
  </si>
  <si>
    <t>FIE60-2023-2024-0208</t>
  </si>
  <si>
    <t>2024-001027</t>
  </si>
  <si>
    <t>2024-001033</t>
  </si>
  <si>
    <t>MUNICIPIO DE SABANA GRANDE</t>
  </si>
  <si>
    <t>2024-001035</t>
  </si>
  <si>
    <t>PARAISO RESTAURANT CORP</t>
  </si>
  <si>
    <t>Beca Teodoro Moscoso Mora</t>
  </si>
  <si>
    <t>Aguja con valvula que se inserta en vena</t>
  </si>
  <si>
    <t>Biopharmaceutical products manufacturing</t>
  </si>
  <si>
    <t>Tareas de trabajo clasificado y no clasificado para el Dpto. de la Defensa de los E.U.</t>
  </si>
  <si>
    <t>Evento: "Emprender está de Moda"</t>
  </si>
  <si>
    <t>Manufactura de protesis, ortesis y servicios relacionados a equipos medicos</t>
  </si>
  <si>
    <t>Renglón de metal</t>
  </si>
  <si>
    <t>Servicios gerenciales y administrativos para PyMEs</t>
  </si>
  <si>
    <t>Elaboración, procesamiento y distribucion de salsas y bebidas refrescantes con y sin alcohol</t>
  </si>
  <si>
    <t>Confeccion de productos derivados de cacao, tales como chocolate, cosmeticos, sin limitarse a los mismos.</t>
  </si>
  <si>
    <t>Manufactura de alimentos preparados refrigerados para venta local y exportacion</t>
  </si>
  <si>
    <t>Fabricación de maquinas automatizadas enfocadas en la integración de soluciones en los procesos de manufactura.</t>
  </si>
  <si>
    <t>Renglón de hilo (hamacas)</t>
  </si>
  <si>
    <t>Renglón del barro</t>
  </si>
  <si>
    <t>Manufactura de lentes oftalmicos</t>
  </si>
  <si>
    <t>"La Semana de Cine Español" (el "Evento")</t>
  </si>
  <si>
    <t>Vigésima Tercera edición del Festival de las Almojábanas</t>
  </si>
  <si>
    <t>Empresa de servicio de limpieza v mantenimiento residencial, comercial e industrial</t>
  </si>
  <si>
    <t>Manufactura de: came de res, polio, cerdo, cordero y huevos</t>
  </si>
  <si>
    <t>Manufactura de: serigrafia, bordados, sublimación y estampado en textiles</t>
  </si>
  <si>
    <t>Manufactura de productos dentales</t>
  </si>
  <si>
    <t>ANGEL REYES SERRANO H/N/C HIDROPONICOS BORINQUEN</t>
  </si>
  <si>
    <t>Cultivo de hidroponicos</t>
  </si>
  <si>
    <t>Servicio de venta de alimentos, catering con especialidad en productos creados</t>
  </si>
  <si>
    <t>Escuela Internacional</t>
  </si>
  <si>
    <t>Siembra y cultivo de lechuga mediante sistema hidropónico</t>
  </si>
  <si>
    <t>Manufactura de sorullos de maiz congelados</t>
  </si>
  <si>
    <t>Exportacion de servicios de consultoria a negocios e instituciones</t>
  </si>
  <si>
    <t>Procesamiento de carnes, pescado y ayes</t>
  </si>
  <si>
    <t>Operaciones de moldeo y ensamblaje de dispositivos medicos</t>
  </si>
  <si>
    <t>Produccion de leche de vida extendida</t>
  </si>
  <si>
    <t>5ta Feria de Artesanía Puertorriqueña de Guaynabo</t>
  </si>
  <si>
    <t>Confección de Bolígrafos en madera</t>
  </si>
  <si>
    <t>Tejido de muebles en enea</t>
  </si>
  <si>
    <t>Sector de venta</t>
  </si>
  <si>
    <t>Confección de Hamaca (tejido)</t>
  </si>
  <si>
    <t>Medical technology</t>
  </si>
  <si>
    <t>Piezas de alta presicion para instrumentos medicos</t>
  </si>
  <si>
    <t>Inserts, outserts y manuales</t>
  </si>
  <si>
    <t>Manufactura de colchas</t>
  </si>
  <si>
    <t xml:space="preserve">Manufactura de paletas de gelato y smoothies </t>
  </si>
  <si>
    <t>Manufactuta cervezas artesanales</t>
  </si>
  <si>
    <t>Renglón de Tejido</t>
  </si>
  <si>
    <t>Renglón de jabones saponificados,</t>
  </si>
  <si>
    <t>Dos (2) talleres: Confección de Tejido de Pava de Cogollo y Confección de Máscaras de Vejigantes en Papel Maché</t>
  </si>
  <si>
    <t>Taller de Confección de Tejido de Pava de Cogollo</t>
  </si>
  <si>
    <t>Serie de talleres del DDEC sobre la utilización de la Inteligencia Artificial en la redacción de guiones</t>
  </si>
  <si>
    <t>Manufactura de muebles y gabinetes de cocina</t>
  </si>
  <si>
    <t>Feria Educativa</t>
  </si>
  <si>
    <t>Bebidas / Alimentos</t>
  </si>
  <si>
    <t>Artesanías puertorriqueñas</t>
  </si>
  <si>
    <t>2024-000768-A</t>
  </si>
  <si>
    <t>2024-000806-A</t>
  </si>
  <si>
    <t>2024-000846-A</t>
  </si>
  <si>
    <t>TALE+ LLC</t>
  </si>
  <si>
    <t>2024-001145</t>
  </si>
  <si>
    <t>2024-001118</t>
  </si>
  <si>
    <t>FIE60-2023-2024-0045</t>
  </si>
  <si>
    <t>2024-001117</t>
  </si>
  <si>
    <t>COSTURERAS SOÑADORAS INC</t>
  </si>
  <si>
    <t>2024-001114</t>
  </si>
  <si>
    <t>MUNICIPIO DE LAJAS</t>
  </si>
  <si>
    <t>GREAT LAKE SOLEX, LLC</t>
  </si>
  <si>
    <t>2024-001111</t>
  </si>
  <si>
    <t>FIE60-2023-2024-0304</t>
  </si>
  <si>
    <t>2024-001110</t>
  </si>
  <si>
    <t>FIE60-2023-2024-0295</t>
  </si>
  <si>
    <t>RICH MINDS LLC</t>
  </si>
  <si>
    <t>2024-001108</t>
  </si>
  <si>
    <t>KIARA TAILY RIVERA CARRASQUILLO H/N/C ECONATIVEE</t>
  </si>
  <si>
    <t>2024-001099</t>
  </si>
  <si>
    <t>ROTULOS SANTANA, INC.</t>
  </si>
  <si>
    <t>2024-001097</t>
  </si>
  <si>
    <t>FIE60-2023-2024-0229</t>
  </si>
  <si>
    <t>YAMKA LLC H/N/C DONATELLO CLINICAL LAB</t>
  </si>
  <si>
    <t>2024-001095</t>
  </si>
  <si>
    <t>2024-001094</t>
  </si>
  <si>
    <t>FIE60-2023-2024-0264</t>
  </si>
  <si>
    <t>2024-001093</t>
  </si>
  <si>
    <t>FIE60-2023-2024-0227</t>
  </si>
  <si>
    <t>2024-001090</t>
  </si>
  <si>
    <t>FIE60-2023-2024-0228</t>
  </si>
  <si>
    <t>2024-001088</t>
  </si>
  <si>
    <t>2024-001083</t>
  </si>
  <si>
    <t>FIE60-2023-2024-0205</t>
  </si>
  <si>
    <t>MEDICAL ADMIN SOLUTIONS</t>
  </si>
  <si>
    <t>2024-001082</t>
  </si>
  <si>
    <t>PORTABARRA, LLC</t>
  </si>
  <si>
    <t>2024-001081</t>
  </si>
  <si>
    <t>JOSUÉ E DE LA CRUZ BABILONIA H/N/C DESPACHO LEGAL LCDO JOSUÉ E DE LA CRUZ BABILONIA</t>
  </si>
  <si>
    <t>2024-001079</t>
  </si>
  <si>
    <t>SHIRLEY KRIFTER H/N/C SHIRLEY KRIFTER</t>
  </si>
  <si>
    <t>2024-001078</t>
  </si>
  <si>
    <t>ABC THERAPY AND LEARNING CENTER LLC</t>
  </si>
  <si>
    <t>2024-001077</t>
  </si>
  <si>
    <t>CAFE LEGAL ANTONELLA LLC</t>
  </si>
  <si>
    <t>2024-001076</t>
  </si>
  <si>
    <t>YARITZA E SANTIAGO CASTRO H/N/C ARTESANO HEALTHY NUTRITION</t>
  </si>
  <si>
    <t>2024-001074</t>
  </si>
  <si>
    <t>CONSEJO JUANADINO PRO-FESTEJOS DE REYES</t>
  </si>
  <si>
    <t>2024-001070</t>
  </si>
  <si>
    <t>GLOBAL MANUFACTURING, LLC</t>
  </si>
  <si>
    <t>2024-001067</t>
  </si>
  <si>
    <t>FIE60-2023-2024-0239</t>
  </si>
  <si>
    <t>UNIVERSIDAD ANA G MENDEZ</t>
  </si>
  <si>
    <t>2024-001063</t>
  </si>
  <si>
    <t>FIE60-2023-2024-0242</t>
  </si>
  <si>
    <t>2024-001062</t>
  </si>
  <si>
    <t>FIE60-2023-2024-0241</t>
  </si>
  <si>
    <t>2024-001061</t>
  </si>
  <si>
    <t>FIE60-2023-2024-0238</t>
  </si>
  <si>
    <t>2024-001059</t>
  </si>
  <si>
    <t>FIE60-2023-2024-0315</t>
  </si>
  <si>
    <t>2024-001058-A</t>
  </si>
  <si>
    <t>FIE60-2023-2024-0259</t>
  </si>
  <si>
    <t>2024-001058</t>
  </si>
  <si>
    <t>FIE60-2023-2024-0209</t>
  </si>
  <si>
    <t>2024-001057</t>
  </si>
  <si>
    <t>FIE60-2023-2024-0074</t>
  </si>
  <si>
    <t>2024-001056</t>
  </si>
  <si>
    <t>FIE60-2023-2024-0162</t>
  </si>
  <si>
    <t>1BME INC</t>
  </si>
  <si>
    <t>2024-001049</t>
  </si>
  <si>
    <t>FIE60-2023-2024-0290</t>
  </si>
  <si>
    <t>BIG CAKE, INC</t>
  </si>
  <si>
    <t>2024-001048</t>
  </si>
  <si>
    <t>FIE60-2023-2024-0271</t>
  </si>
  <si>
    <t>SOLO GROUP LLC</t>
  </si>
  <si>
    <t>2024-001047</t>
  </si>
  <si>
    <t>FIE60-2023-2024-0284</t>
  </si>
  <si>
    <t>2024-001046</t>
  </si>
  <si>
    <t>FIE60-2023-2024-0283</t>
  </si>
  <si>
    <t>2024-001045</t>
  </si>
  <si>
    <t>FIE60-2023-2024-0075</t>
  </si>
  <si>
    <t>2024-001042</t>
  </si>
  <si>
    <t>FIE60-2023-2024-0272</t>
  </si>
  <si>
    <t>SMARTWEAVE PR INC</t>
  </si>
  <si>
    <t>2024-001041</t>
  </si>
  <si>
    <t>FIE60-2023-2024-0296</t>
  </si>
  <si>
    <t>2024-001040</t>
  </si>
  <si>
    <t>FIE60-2023-2024-0297</t>
  </si>
  <si>
    <t>2024-001031</t>
  </si>
  <si>
    <t>FIE60-2023-2024-0289</t>
  </si>
  <si>
    <t>MARYORIE A MALDONADO PEREZ h/n/c CAPRICHO'S SALON</t>
  </si>
  <si>
    <t>2024-001015</t>
  </si>
  <si>
    <t>NOELANI SUE RODRIGUEZ HERNANDEZ</t>
  </si>
  <si>
    <t>2024-000991</t>
  </si>
  <si>
    <t>FURNITURE COMPANY AA CORP</t>
  </si>
  <si>
    <t>2024-000987-A</t>
  </si>
  <si>
    <t>FIE60-2023-2024-0194</t>
  </si>
  <si>
    <t>2024-000986</t>
  </si>
  <si>
    <t>FIE60-2023-2024-0193</t>
  </si>
  <si>
    <t>C&amp;F FOOD PRODUCE CORP</t>
  </si>
  <si>
    <t>FIE60-2023-2024-0223</t>
  </si>
  <si>
    <t>FIE60-2023-2024-0222</t>
  </si>
  <si>
    <t>2024-000832</t>
  </si>
  <si>
    <t>Renglón de Cestería</t>
  </si>
  <si>
    <t>Certamen de Tallas en madera en honor del Santo Patrón de Juana Díaz San Ramón Nonato</t>
  </si>
  <si>
    <t>Cuadragésimo Cuarto (44) Festival Nacional de la Hamaca 2024</t>
  </si>
  <si>
    <t>1er Junte de Artesanos en La Parguera 2024, y Serie 45 Julio mes del Artesano 2024</t>
  </si>
  <si>
    <t>6 serigrafias a otorgarse a los artesanos homenajeados en la Actividad de "SERIE 45 JULIO MES DEL ARTESANO 2024",</t>
  </si>
  <si>
    <t>Sector de servicios</t>
  </si>
  <si>
    <t>Venta de alimentos y productos para control de peso</t>
  </si>
  <si>
    <t>Café (Coffee Shop)</t>
  </si>
  <si>
    <t>Oficina de Servicios de terapia del habla y lenguaje y servicios psicológicos</t>
  </si>
  <si>
    <t>Confección y venta de prendas de vestir y accesorios de damas</t>
  </si>
  <si>
    <t>Despacho legal donde se brindan servicios legales y notariales</t>
  </si>
  <si>
    <t>Servicio de alquiler de barras por módulos y portables.</t>
  </si>
  <si>
    <t>Laboratorio clínico</t>
  </si>
  <si>
    <t>Servicio de desayunos tipo "brunch" con cosechas locales y eco-consientes</t>
  </si>
  <si>
    <t>Servicios de terapias del habla de forma virtual</t>
  </si>
  <si>
    <t>"AmPav Student Experience"</t>
  </si>
  <si>
    <t>Consultoría y Mentoría de servicios administrativos. Facturación de Planes Médicos</t>
  </si>
  <si>
    <t>"Food truck" y restaurante</t>
  </si>
  <si>
    <t>Cursos de costura y diseño de moda, programa de formación práctica en costura</t>
  </si>
  <si>
    <t>Servicios misceláneos de salud</t>
  </si>
  <si>
    <t>Servicios de ingenieros y arquitectos</t>
  </si>
  <si>
    <t>Centro Empresarial para la Mujer Ana G. Mendez</t>
  </si>
  <si>
    <t xml:space="preserve">Manufactura de Muebles Hogar e 
Institucional </t>
  </si>
  <si>
    <t xml:space="preserve">Gabinetes de cocina y baños, topes de cocina   </t>
  </si>
  <si>
    <t>Manufactura de muebles para oficinas, comercios y residenciales.</t>
  </si>
  <si>
    <t>Manufactura de "Mattresses y Box Springs",</t>
  </si>
  <si>
    <t>Maquinaria eléctrica</t>
  </si>
  <si>
    <t>Manufactura de muebles para oficinas y comercios</t>
  </si>
  <si>
    <t>Manufactura de "Mattresses y Box
Springs"</t>
  </si>
  <si>
    <t>Manufactura de ropa en general y deportiva</t>
  </si>
  <si>
    <t>Manufactura ropa en general y productos relacionados</t>
  </si>
  <si>
    <t>Productos de panadería y repostería</t>
  </si>
  <si>
    <t>2021-000149-A</t>
  </si>
  <si>
    <t>2024-000128-A</t>
  </si>
  <si>
    <t>2021-000367-B</t>
  </si>
  <si>
    <t>CAMPOLOR, INC.</t>
  </si>
  <si>
    <t>FIE60-2023-2024-0087</t>
  </si>
  <si>
    <t>2024-000230</t>
  </si>
  <si>
    <t>FIE60-2023-2024-0088</t>
  </si>
  <si>
    <t>2024-000231</t>
  </si>
  <si>
    <t>2024-000342</t>
  </si>
  <si>
    <t>COMMUNITY HEALTH SERVICES, LLC</t>
  </si>
  <si>
    <t>2024-000668</t>
  </si>
  <si>
    <t>8.9, LLC</t>
  </si>
  <si>
    <t>2024-000754</t>
  </si>
  <si>
    <t>ON MY MIND, LLC</t>
  </si>
  <si>
    <t>2024-000755</t>
  </si>
  <si>
    <t>ARTEMORFOSIS LLC</t>
  </si>
  <si>
    <t>2024-000756</t>
  </si>
  <si>
    <t>CENTRO QUIROPRACTICO DRA. MUNIZ</t>
  </si>
  <si>
    <t>2024-000757</t>
  </si>
  <si>
    <t>PECCAS LLC</t>
  </si>
  <si>
    <t>2024-000758</t>
  </si>
  <si>
    <t>ATHLETIC SPORTECH, LLC</t>
  </si>
  <si>
    <t>2024-000759</t>
  </si>
  <si>
    <t>INGENIUM PROFESSIONAL GROUP PSC</t>
  </si>
  <si>
    <t>2024-000889-A</t>
  </si>
  <si>
    <t>M.B. SPORT, INC.</t>
  </si>
  <si>
    <t>2024-000913</t>
  </si>
  <si>
    <t>HY COMPANY LLC</t>
  </si>
  <si>
    <t>FIE60-2023-2024-0260</t>
  </si>
  <si>
    <t>2024-001009-A</t>
  </si>
  <si>
    <t>FIE60-2023-2024-0177</t>
  </si>
  <si>
    <t>2024-001032</t>
  </si>
  <si>
    <t>COMBE PRODUCTS, INC</t>
  </si>
  <si>
    <t>FIE60-2023-2024-0269</t>
  </si>
  <si>
    <t>2024-001050</t>
  </si>
  <si>
    <t>ESPECIAS MONTERO INC</t>
  </si>
  <si>
    <t>FIE60-2023-2024-0064</t>
  </si>
  <si>
    <t>2024-001064</t>
  </si>
  <si>
    <t>TRIANGLE TRADING &amp; MFG CO. INC</t>
  </si>
  <si>
    <t>2024-001065-A</t>
  </si>
  <si>
    <t>FIE60-2023-2024-0305</t>
  </si>
  <si>
    <t>2024-001084</t>
  </si>
  <si>
    <t>BAKERS BROS LLC</t>
  </si>
  <si>
    <t>FIE60-2023-2024-0307</t>
  </si>
  <si>
    <t>2024-001085</t>
  </si>
  <si>
    <t>GOSEN FOODS LLC</t>
  </si>
  <si>
    <t>FIE60-2023-2024-0306</t>
  </si>
  <si>
    <t>2024-001086</t>
  </si>
  <si>
    <t>FIE60-2023-2024-0308</t>
  </si>
  <si>
    <t>2024-001089</t>
  </si>
  <si>
    <t>FIE60-2023-2024-0196</t>
  </si>
  <si>
    <t>2024-001091</t>
  </si>
  <si>
    <t>GRAPHIC PRINT &amp; DESIGN CORPORATION</t>
  </si>
  <si>
    <t>FIE60-2023-2024-0195</t>
  </si>
  <si>
    <t>2024-001092</t>
  </si>
  <si>
    <t>FIE60-2023-2024-0065</t>
  </si>
  <si>
    <t>2024-001109</t>
  </si>
  <si>
    <t>2024-001116</t>
  </si>
  <si>
    <t>Gabriela M. Medina Santiago H/N/C Finca La Jiba</t>
  </si>
  <si>
    <t>FIE60-2023-2024-0314</t>
  </si>
  <si>
    <t>2024-001120</t>
  </si>
  <si>
    <t>FIE60-2023-2024-0309</t>
  </si>
  <si>
    <t>2024-001121</t>
  </si>
  <si>
    <t>2024-001123</t>
  </si>
  <si>
    <t>FIE60-2023-2024-0313</t>
  </si>
  <si>
    <t>2024-001125</t>
  </si>
  <si>
    <t>PRODUCTOS MI GENTE, LLC</t>
  </si>
  <si>
    <t>FIE60-2023-2024-0312</t>
  </si>
  <si>
    <t>2024-001126</t>
  </si>
  <si>
    <t>2024-001130</t>
  </si>
  <si>
    <t>PIZZERÍA LA NAPOLETANA LLC</t>
  </si>
  <si>
    <t>2024-001131</t>
  </si>
  <si>
    <t>JOSE ANGEL RIVERA RAMOS H/N/C SURVIVAL BOX</t>
  </si>
  <si>
    <t>2024-001132</t>
  </si>
  <si>
    <t>FASTENDER COLISEUM &amp; CINEMA COPR</t>
  </si>
  <si>
    <t>FIE60-2023-2024-0321</t>
  </si>
  <si>
    <t>2024-001133</t>
  </si>
  <si>
    <t>HACIENDA TRES SOLES CORPORATION</t>
  </si>
  <si>
    <t>FIE60-2023-2024-0320</t>
  </si>
  <si>
    <t>2024-001134</t>
  </si>
  <si>
    <t>2024-001135</t>
  </si>
  <si>
    <t>CORDEROS CAMPO VERDE, INC</t>
  </si>
  <si>
    <t>2024-001137</t>
  </si>
  <si>
    <t>GAMESTORME, LLC</t>
  </si>
  <si>
    <t>2024-001138</t>
  </si>
  <si>
    <t>PICAFLOR ENTERTAINMENT, LLC</t>
  </si>
  <si>
    <t>FIE60-2023-2024-0076</t>
  </si>
  <si>
    <t>2024-001139</t>
  </si>
  <si>
    <t>RED VENTURES COQUI, LLC</t>
  </si>
  <si>
    <t>2024-001140</t>
  </si>
  <si>
    <t>ST. BENITO, LLC</t>
  </si>
  <si>
    <t>2024-001141</t>
  </si>
  <si>
    <t>CIS INTERNATIONAL, LLC</t>
  </si>
  <si>
    <t>2024-001142</t>
  </si>
  <si>
    <t>PARENTAL DRUG INSPECTION &amp; TECH SERVICES, LLC</t>
  </si>
  <si>
    <t>FIE60-2023-2024-0077</t>
  </si>
  <si>
    <t>2024-001143</t>
  </si>
  <si>
    <t>2024-001144</t>
  </si>
  <si>
    <t>HSI FARM CORP</t>
  </si>
  <si>
    <t>2024-001146</t>
  </si>
  <si>
    <t>Ernesto González Torres h/n/c Socius Digital</t>
  </si>
  <si>
    <t>2024-001147</t>
  </si>
  <si>
    <t>ACADEMIA MENAY LLC</t>
  </si>
  <si>
    <t>2024-001148</t>
  </si>
  <si>
    <t>Wild Culture Mushrooms, LLC</t>
  </si>
  <si>
    <t>63 Aniversario de la Feria Nacional de Artesanías</t>
  </si>
  <si>
    <t>Sistema de boleteria electronica</t>
  </si>
  <si>
    <t>Biotecnologia Animal</t>
  </si>
  <si>
    <t>Entretenimiento con tecnologia</t>
  </si>
  <si>
    <t>Investigación y desarrollo de la producción de bioinsumos</t>
  </si>
  <si>
    <t>patente para dispositivo médico conocido como T-CAN</t>
  </si>
  <si>
    <t>Completar el desarrollo del equipo Inspector Supervised Artificial Intelligence Vision lnspection (ISAIVI)</t>
  </si>
  <si>
    <t>Sector agrícola</t>
  </si>
  <si>
    <t>MARICAO</t>
  </si>
  <si>
    <t>Venta de Comida Preparada al Momento. Venta de Bebidas Alcohólicas</t>
  </si>
  <si>
    <t>Módulo multiuso para adaptarse a los vehículos Jeep Wranglers</t>
  </si>
  <si>
    <t>Plataforma para la distribución, publicación, y desarrollo de videojuegos</t>
  </si>
  <si>
    <t>Vellos Homestyle Caribbean Food</t>
  </si>
  <si>
    <t>Servicios de relaciones de negocio</t>
  </si>
  <si>
    <t>Variedad de cultivo de hongos medicinales y gourmet</t>
  </si>
  <si>
    <t>Diez (10) talleres a jóvenes con discapacidad</t>
  </si>
  <si>
    <t>Producción de Video Explicativo de Juvempleo</t>
  </si>
  <si>
    <t xml:space="preserve">Productos de goma y plástico </t>
  </si>
  <si>
    <t>Agencia de Publicidad</t>
  </si>
  <si>
    <t>Academia de Artes</t>
  </si>
  <si>
    <t>Servicio Quiropráctico / Naturopata</t>
  </si>
  <si>
    <t>Comercio al Detal</t>
  </si>
  <si>
    <t>Servicio de Ingeniería, Gerencia de Proyectos</t>
  </si>
  <si>
    <t>Tienda de mantecados y wafles</t>
  </si>
  <si>
    <t>Publicidad</t>
  </si>
  <si>
    <t>Productos misceláneos de alimentos</t>
  </si>
  <si>
    <t>Imprenta y editoriales</t>
  </si>
  <si>
    <t>Productos de molinos de granos</t>
  </si>
  <si>
    <t>PYMES Innovadoras LEY 73-2008</t>
  </si>
  <si>
    <t>Cine</t>
  </si>
  <si>
    <t xml:space="preserve">       Cash Grant Incentives under Law 8 - 1986, Law 166-1995, Law 73-2008, Law 60-2019</t>
  </si>
  <si>
    <t>2021-000366-B</t>
  </si>
  <si>
    <t>2024-001112-A</t>
  </si>
  <si>
    <t>FIE60-2023-2024-0317</t>
  </si>
  <si>
    <t>2024-000664</t>
  </si>
  <si>
    <t>STAR IMPRESSIONS LLC</t>
  </si>
  <si>
    <t>FIE60-2023-2024-0188</t>
  </si>
  <si>
    <t>2024-000827</t>
  </si>
  <si>
    <t>EBANISTERIA VILLANUEVA, LLC</t>
  </si>
  <si>
    <t>FIE60-2023-2024-0189</t>
  </si>
  <si>
    <t>2024-000828</t>
  </si>
  <si>
    <t>FIE60-2023-2024-0187</t>
  </si>
  <si>
    <t>2024-000835</t>
  </si>
  <si>
    <t>FIE60-2023-2024-0331</t>
  </si>
  <si>
    <t>2024-000939-A</t>
  </si>
  <si>
    <t>FIE60-2023-2024-0332</t>
  </si>
  <si>
    <t>2024-000957-A</t>
  </si>
  <si>
    <t>COMERCIAL TORO, INC. DBA TOPES TORO</t>
  </si>
  <si>
    <t>FIE60-2023-2024-0261</t>
  </si>
  <si>
    <t>2024-000958-A</t>
  </si>
  <si>
    <t>FIE60-2023-2024-0279</t>
  </si>
  <si>
    <t>2024-000961</t>
  </si>
  <si>
    <t>JM CHOCOLAT, LLC</t>
  </si>
  <si>
    <t>FIE60-2023-2024-0278</t>
  </si>
  <si>
    <t>2024-000962</t>
  </si>
  <si>
    <t>FIE60-2023-2024-0333</t>
  </si>
  <si>
    <t>2024-001058-B</t>
  </si>
  <si>
    <t>FIE60-2023-2024-0326</t>
  </si>
  <si>
    <t>2024-001063-A</t>
  </si>
  <si>
    <t>FIE60-2023-2024-0334</t>
  </si>
  <si>
    <t>2024-001063-B</t>
  </si>
  <si>
    <t>FIE60-2023-2024-0325</t>
  </si>
  <si>
    <t>2024-001083-A</t>
  </si>
  <si>
    <t>FIE60-2024-2025-0018</t>
  </si>
  <si>
    <t>PAPEASY INNOVATIONS, LLC</t>
  </si>
  <si>
    <t>FIE60-2024-2025-0002</t>
  </si>
  <si>
    <t>2025-000018</t>
  </si>
  <si>
    <t>AMO PUERTO RICO MANUFACTURING, INC</t>
  </si>
  <si>
    <t>FIE60-2024-2025-0001</t>
  </si>
  <si>
    <t>2025-000019</t>
  </si>
  <si>
    <t>FIE60-2024-2025-0006</t>
  </si>
  <si>
    <t>2025-000021</t>
  </si>
  <si>
    <t>ABDIEL I ANGLERO CASANOVA</t>
  </si>
  <si>
    <t>FIE60-2023-2024-0192</t>
  </si>
  <si>
    <t>2025-000026</t>
  </si>
  <si>
    <t>2025-000028</t>
  </si>
  <si>
    <t>FIE60-2023-2024-0191</t>
  </si>
  <si>
    <t>2025-000029</t>
  </si>
  <si>
    <t>FIE60-2023-2024-0300</t>
  </si>
  <si>
    <t>2025-000030</t>
  </si>
  <si>
    <t>FIE60-2023-2024-0262</t>
  </si>
  <si>
    <t>2025-000031</t>
  </si>
  <si>
    <t>FIE60-2024-2025-0019</t>
  </si>
  <si>
    <t>2025-000033</t>
  </si>
  <si>
    <t>FIE60-2024-2025-0022</t>
  </si>
  <si>
    <t>2025-000051</t>
  </si>
  <si>
    <t>AbbVie Biotechnology, LTD</t>
  </si>
  <si>
    <t>FIE60-2024-2025-0023</t>
  </si>
  <si>
    <t>2025-000052</t>
  </si>
  <si>
    <t>2025-000062</t>
  </si>
  <si>
    <t>POP Technologies LLC</t>
  </si>
  <si>
    <t>FIE60-2024-2025-0007</t>
  </si>
  <si>
    <t>2025-000078</t>
  </si>
  <si>
    <t>FIE60-2024-2025-0005</t>
  </si>
  <si>
    <t>2025-000081</t>
  </si>
  <si>
    <t>Grupo C, LLC</t>
  </si>
  <si>
    <t>FIE60-2024-2025-0017</t>
  </si>
  <si>
    <t>2025-000089</t>
  </si>
  <si>
    <t>FIE60-2023-2024-0327</t>
  </si>
  <si>
    <t>2024-000979-A</t>
  </si>
  <si>
    <t>2024-000980-A</t>
  </si>
  <si>
    <t>2023-001962-A</t>
  </si>
  <si>
    <t>2024-001067-A</t>
  </si>
  <si>
    <t>FIE60-2023-2024-0330</t>
  </si>
  <si>
    <t>2024-001026-A</t>
  </si>
  <si>
    <t>FIE60-2023-2024-0316</t>
  </si>
  <si>
    <t>FIE60-2024-2025-0051</t>
  </si>
  <si>
    <t>2025-000090</t>
  </si>
  <si>
    <t>FIE60-2024-2025-0059</t>
  </si>
  <si>
    <t>2025-000091</t>
  </si>
  <si>
    <t>FIE60-2024-2025-0061</t>
  </si>
  <si>
    <t>2025-000092</t>
  </si>
  <si>
    <t>FIE60-2024-2025-0060</t>
  </si>
  <si>
    <t>2025-000093</t>
  </si>
  <si>
    <t>FIE60-2024-2025-0064</t>
  </si>
  <si>
    <t>2025-000114</t>
  </si>
  <si>
    <t>PRIMAVERA HYDROPONICS, INC</t>
  </si>
  <si>
    <t>FIE60-2024-2025-0016</t>
  </si>
  <si>
    <t>2025-000119</t>
  </si>
  <si>
    <t>FIE60-2024-2025-0032</t>
  </si>
  <si>
    <t>2025-000125</t>
  </si>
  <si>
    <t>FIE60-2024-2025-0029</t>
  </si>
  <si>
    <t>2025-000126</t>
  </si>
  <si>
    <t>FIE60-2024-2025-0028</t>
  </si>
  <si>
    <t>2025-000127</t>
  </si>
  <si>
    <t>FIE60-2024-2025-0004</t>
  </si>
  <si>
    <t>ECOVAL LLC</t>
  </si>
  <si>
    <t>2025-000139</t>
  </si>
  <si>
    <t>FIE60-2024-2025-0068</t>
  </si>
  <si>
    <t>FRESH HOUSE, LLC</t>
  </si>
  <si>
    <t>FIE60-2024-2025-0058</t>
  </si>
  <si>
    <t>Plataforma puertorriqueña dedicada en la digitalización de la industria de seguros</t>
  </si>
  <si>
    <t>Manufactura de gabinetes y topes de cocinas</t>
  </si>
  <si>
    <t>Manufacturan puertas, marcos y ventanas en madera</t>
  </si>
  <si>
    <t>Manufacturan mattresses and box springs</t>
  </si>
  <si>
    <t>Manufactura y tapizado de camas de posiciones bajo el programa de "Mattresses" y "Box Spings".</t>
  </si>
  <si>
    <t>Manufactura de ropa y productos relacionados</t>
  </si>
  <si>
    <t>Manufactura de "Mattresses" y "Box Spings"</t>
  </si>
  <si>
    <t>Servicios profesionales especializado de mercadeo, promoción y comunicaciones dirigidos a la industria cinematográfica local y extrajera</t>
  </si>
  <si>
    <t>Productos textile</t>
  </si>
  <si>
    <t>servicios profesionales de
Consultoría, asesoramiento, asistencia técnica necesaria para el Programa de Cine</t>
  </si>
  <si>
    <t>Servicios Profesionales</t>
  </si>
  <si>
    <t>2025-000120</t>
  </si>
  <si>
    <t>2025-000121</t>
  </si>
  <si>
    <t xml:space="preserve">Agricultura </t>
  </si>
  <si>
    <t>Servicios consultivos y administrativos para asistirle en la Oficina de Incentivos</t>
  </si>
  <si>
    <t>Evento "Programa de Emprendimiento Global, Nexus"</t>
  </si>
  <si>
    <t>2025-000027</t>
  </si>
  <si>
    <t>FIE60-2023-2024-0301</t>
  </si>
  <si>
    <t>BRENDALIZ M CHAPARRO RODRÍGUEZ H/N/C/ RODRÍGUEZ BCR TAX SERVICES</t>
  </si>
  <si>
    <t>ARTURO ORTIZ CASTRO</t>
  </si>
  <si>
    <t xml:space="preserve">DESPIECES LA CEBA LLC </t>
  </si>
  <si>
    <t>FIE60-2020-2021-0119</t>
  </si>
  <si>
    <t>2021-000258</t>
  </si>
  <si>
    <t>Cancelled</t>
  </si>
  <si>
    <t>HALCON BAKERS, INC.</t>
  </si>
  <si>
    <t>2023-001569-B</t>
  </si>
  <si>
    <r>
      <t xml:space="preserve">Manufactura de </t>
    </r>
    <r>
      <rPr>
        <i/>
        <sz val="11"/>
        <rFont val="Calibri"/>
        <family val="2"/>
      </rPr>
      <t>mattresses y Box Springs</t>
    </r>
  </si>
  <si>
    <t>FIE60-2024-2025-0044</t>
  </si>
  <si>
    <t>FIE60-2024-2025-0069</t>
  </si>
  <si>
    <t>FIE60-2024-2025-0086</t>
  </si>
  <si>
    <t>FIE60-2024-2025-0087</t>
  </si>
  <si>
    <t>FIE60-2024-2025-0085</t>
  </si>
  <si>
    <t>FIE60-2024-2025-0074</t>
  </si>
  <si>
    <t>FIE60-2024-2025-0075</t>
  </si>
  <si>
    <t>FIE60-2024-2025-0089</t>
  </si>
  <si>
    <t>FIE60-2024-2025-0090</t>
  </si>
  <si>
    <t>FIE60-2024-2025-0091</t>
  </si>
  <si>
    <t>FIE60-2024-2025-0083</t>
  </si>
  <si>
    <t>FIE60-2024-2025-0057</t>
  </si>
  <si>
    <t>FIE60-2024-2025-0094</t>
  </si>
  <si>
    <t>FIE60-2024-2025-0097</t>
  </si>
  <si>
    <t>FIE60-2024-2025-0098</t>
  </si>
  <si>
    <t>FIE60-2024-2025-0096</t>
  </si>
  <si>
    <t>FIE60-2024-2025-0055</t>
  </si>
  <si>
    <t>FIE60-2024-2025-0056</t>
  </si>
  <si>
    <t>FIE60-2024-2025-0093</t>
  </si>
  <si>
    <t>FIE60-2024-2025-0092</t>
  </si>
  <si>
    <t>FIE60-2024-2025-0015</t>
  </si>
  <si>
    <t>FIE60-2024-2025-0054</t>
  </si>
  <si>
    <t>FIE60-2024-2025-0038</t>
  </si>
  <si>
    <t>FIE60-2024-2025-0048</t>
  </si>
  <si>
    <t>FIE60-2024-2025-0113</t>
  </si>
  <si>
    <t>FIE60-2024-2025-0111</t>
  </si>
  <si>
    <t>FIE60-2024-2025-0112</t>
  </si>
  <si>
    <t>2025-000186</t>
  </si>
  <si>
    <t>2025-000162</t>
  </si>
  <si>
    <t>2025-000161</t>
  </si>
  <si>
    <t>2025-000180</t>
  </si>
  <si>
    <t>2025-000173</t>
  </si>
  <si>
    <t>2025-000175</t>
  </si>
  <si>
    <t>2025-000177</t>
  </si>
  <si>
    <t>2025-000174</t>
  </si>
  <si>
    <t>2025-000176</t>
  </si>
  <si>
    <t>2025-000181</t>
  </si>
  <si>
    <t>2025-000182</t>
  </si>
  <si>
    <t>2025-000183</t>
  </si>
  <si>
    <t>2025-000188</t>
  </si>
  <si>
    <t>2025-000185</t>
  </si>
  <si>
    <t>2025-000190</t>
  </si>
  <si>
    <t>2025-000208</t>
  </si>
  <si>
    <t>2025-000178</t>
  </si>
  <si>
    <t>2025-000197</t>
  </si>
  <si>
    <t>2025-000198</t>
  </si>
  <si>
    <t>2025-000199</t>
  </si>
  <si>
    <t>2025-000200</t>
  </si>
  <si>
    <t>2025-000201</t>
  </si>
  <si>
    <t>2025-000202</t>
  </si>
  <si>
    <t>2025-000203</t>
  </si>
  <si>
    <t>2025-000204</t>
  </si>
  <si>
    <t>2025-000205</t>
  </si>
  <si>
    <t>2025-000206</t>
  </si>
  <si>
    <t>2025-000207</t>
  </si>
  <si>
    <t>2025-000209</t>
  </si>
  <si>
    <t>2025-000211</t>
  </si>
  <si>
    <t>2025-000213</t>
  </si>
  <si>
    <t>2025-000212</t>
  </si>
  <si>
    <t>2025-000215</t>
  </si>
  <si>
    <t>2025-000218</t>
  </si>
  <si>
    <t>2025-000219</t>
  </si>
  <si>
    <t>2025-000220</t>
  </si>
  <si>
    <t>2025-000224</t>
  </si>
  <si>
    <t>2025-000222</t>
  </si>
  <si>
    <t>2025-000223</t>
  </si>
  <si>
    <t>2025-000221</t>
  </si>
  <si>
    <t>2025-000225</t>
  </si>
  <si>
    <t>DANITO ALUMINUM, INC.</t>
  </si>
  <si>
    <t>MILAGROS BORRERO FRATICELLI</t>
  </si>
  <si>
    <t>VITONY BAKERY, INC</t>
  </si>
  <si>
    <t>OUTSOURCING GROUP SERVICES, INC.</t>
  </si>
  <si>
    <t>M&amp;M MANUFACTURING, LLC</t>
  </si>
  <si>
    <t>TECHNO INVENTORS, INC.</t>
  </si>
  <si>
    <t>Festival de Cine Internacional de Puerto Rico</t>
  </si>
  <si>
    <t>WILLIAM TRINIDAD CASTILLO</t>
  </si>
  <si>
    <t>NANCY E. MELENDEZ SOTO</t>
  </si>
  <si>
    <t>THERMO KING PUERTO RICO MANUFACTURING, INC</t>
  </si>
  <si>
    <t>Puerto Rico Film Festival</t>
  </si>
  <si>
    <t>Maquinaria y Equipo</t>
  </si>
  <si>
    <t>PROGRAMA DE APRENDIZAJE DE ARTES TRADICIONAL</t>
  </si>
  <si>
    <t>Programa de aprendizaje de arte tradicional</t>
  </si>
  <si>
    <t>Manufactura y Remanufactura carros de compra</t>
  </si>
  <si>
    <t>Bayamón</t>
  </si>
  <si>
    <t>Manufactura de Puertas y Ventas</t>
  </si>
  <si>
    <t>Consultoría en Tecnología y Desarrollo de Programas</t>
  </si>
  <si>
    <t>Elaboración de alimentos nutritivos</t>
  </si>
  <si>
    <t>Programa de Desarrollo de la Juventud</t>
  </si>
  <si>
    <t>Uniformes Militares</t>
  </si>
  <si>
    <t>Proyecto: "World Robot Olympiad America's Open Championship 2024"</t>
  </si>
  <si>
    <t>Mejoras Infraestructura</t>
  </si>
  <si>
    <t>Desarrollo Industria Cinematrográficas</t>
  </si>
  <si>
    <t>FIE60-2023-2024-0329</t>
  </si>
  <si>
    <t>2024-001009-B</t>
  </si>
  <si>
    <t>2024-000574-A</t>
  </si>
  <si>
    <t>DIGITAL PRESENCIAL, LLC</t>
  </si>
  <si>
    <t>Eventos: "Digitize Youth" y "Clausura del Mes de la Juventud 2024"</t>
  </si>
  <si>
    <t>Importancia de Proyecto</t>
  </si>
  <si>
    <t>Pago servicios profesionales clausura del mes de la juventud 2024</t>
  </si>
  <si>
    <t>2024-000573</t>
  </si>
  <si>
    <t>49 Encuentro Tallistas de Santos</t>
  </si>
  <si>
    <t>FIE60-2024-2025-0036</t>
  </si>
  <si>
    <t>2025-000189</t>
  </si>
  <si>
    <t>Boricua Emprende Fest 2022-Gold Sponsor</t>
  </si>
  <si>
    <t>FIE60-2024-2025-0076</t>
  </si>
  <si>
    <t>2025-000150</t>
  </si>
  <si>
    <t>Empleo Básico y localización</t>
  </si>
  <si>
    <t>FIE60-2024-2025-0077</t>
  </si>
  <si>
    <t>2025-000151</t>
  </si>
  <si>
    <t>FIE60-2024-2025-0062</t>
  </si>
  <si>
    <t>2025-000149-A</t>
  </si>
  <si>
    <t>2025-000157</t>
  </si>
  <si>
    <t>2025-000164</t>
  </si>
  <si>
    <r>
      <t xml:space="preserve">143% - Proyecto </t>
    </r>
    <r>
      <rPr>
        <i/>
        <sz val="11"/>
        <rFont val="Calibri"/>
        <family val="2"/>
      </rPr>
      <t>ARES</t>
    </r>
  </si>
  <si>
    <t>Manufactura de protectores de sistema de rodaje para bujes de carretones</t>
  </si>
  <si>
    <t>Boricua Emprende</t>
  </si>
  <si>
    <t>Incentivo para el Desarrollo de las Artesanías en PR</t>
  </si>
  <si>
    <t>Incentivo Especial de Transporte Marítimo Ley 60-2019</t>
  </si>
  <si>
    <t>Actividades dirigidas al desarrollo juventud</t>
  </si>
  <si>
    <t>Pymes-CCE Capital Semilla-Impulso</t>
  </si>
  <si>
    <t>Rembolso Capital Semilla Fase 2</t>
  </si>
  <si>
    <t>FIE60-2024-2025-0099</t>
  </si>
  <si>
    <t>2025-000228</t>
  </si>
  <si>
    <t>FIE60-2024-2025-0021</t>
  </si>
  <si>
    <t>2025-000229</t>
  </si>
  <si>
    <t>2025-000234</t>
  </si>
  <si>
    <t>2025-000240</t>
  </si>
  <si>
    <t>2025-000239</t>
  </si>
  <si>
    <t>FIE60-2024-2025-0110</t>
  </si>
  <si>
    <t>2025-000243</t>
  </si>
  <si>
    <t>FIE60-2024-2025-0020</t>
  </si>
  <si>
    <t>FIE60-2024-2025-0122</t>
  </si>
  <si>
    <t>FIE60-2024-2025-0080</t>
  </si>
  <si>
    <t>2025-000251</t>
  </si>
  <si>
    <t>2025-000258</t>
  </si>
  <si>
    <t>FIE60-2024-2025-0121</t>
  </si>
  <si>
    <t>FIE60-2024-2025-0118</t>
  </si>
  <si>
    <t>2025-000264</t>
  </si>
  <si>
    <t>2025-000260</t>
  </si>
  <si>
    <t>FIE60-2024-2025-0124</t>
  </si>
  <si>
    <t>FIE60-2024-2025-0125</t>
  </si>
  <si>
    <t>2025-000266</t>
  </si>
  <si>
    <t>FIE60-2024-2025-0119</t>
  </si>
  <si>
    <t>2025-000270</t>
  </si>
  <si>
    <t>FIE60-2024-2025-0043</t>
  </si>
  <si>
    <t>2025-000274</t>
  </si>
  <si>
    <t>FIE60-2024-2025-0131</t>
  </si>
  <si>
    <t>2025-000262</t>
  </si>
  <si>
    <t>FIE60-2024-2025-0130</t>
  </si>
  <si>
    <t>2025-000275</t>
  </si>
  <si>
    <t>2025-000276</t>
  </si>
  <si>
    <t>2025-000278</t>
  </si>
  <si>
    <t>2025-000281</t>
  </si>
  <si>
    <t>2025-000282</t>
  </si>
  <si>
    <t>FIE60-2024-2025-0134</t>
  </si>
  <si>
    <t>2025-000283</t>
  </si>
  <si>
    <t>2025-000017-A</t>
  </si>
  <si>
    <t>2025-000288</t>
  </si>
  <si>
    <t>2025-000287</t>
  </si>
  <si>
    <t>XTILLION LLC</t>
  </si>
  <si>
    <t>Incentivo en Maquinaria/Equipo Ley 60-2019</t>
  </si>
  <si>
    <t>LUSCA, LLC</t>
  </si>
  <si>
    <t xml:space="preserve">GASCO INDUSTRIAL CORP. </t>
  </si>
  <si>
    <t>59%   Hidropónico</t>
  </si>
  <si>
    <t xml:space="preserve">2024-001025 </t>
  </si>
  <si>
    <t>FIE60-2024-2024-0102</t>
  </si>
  <si>
    <t>2024-001058-C</t>
  </si>
  <si>
    <t>Manufactura de "Mattresses y Box Springs"</t>
  </si>
  <si>
    <t>FIE60-2024-2025-0025</t>
  </si>
  <si>
    <t>2024-001083-B</t>
  </si>
  <si>
    <t>Manufactura de gabinetes de cocina y muebles de patio</t>
  </si>
  <si>
    <t>FIE60-2023-2024-0110</t>
  </si>
  <si>
    <t>2024-000957-B</t>
  </si>
  <si>
    <t>FIE60-2024-2025-0100</t>
  </si>
  <si>
    <t>2024-000957-D</t>
  </si>
  <si>
    <t>FIE60-2024-2025-0104</t>
  </si>
  <si>
    <t>2024-000958-C</t>
  </si>
  <si>
    <t>FIE60-2024-2025-0116</t>
  </si>
  <si>
    <t>2024-000958-D</t>
  </si>
  <si>
    <t>Programa de Aliados</t>
  </si>
  <si>
    <t>Balance</t>
  </si>
  <si>
    <t>FIE60-2024-2025-0137</t>
  </si>
  <si>
    <t>FIE60-2024-2025-0150</t>
  </si>
  <si>
    <t>FIE60-2024-2025-0123</t>
  </si>
  <si>
    <t>FIE60-2024-2025-0148</t>
  </si>
  <si>
    <t>FIE60-2024-2025-0157</t>
  </si>
  <si>
    <t>FIE60-2024-2025-0152</t>
  </si>
  <si>
    <t>FIE60-2024-2025-0151</t>
  </si>
  <si>
    <t>FIE60-2024-2025-0156</t>
  </si>
  <si>
    <t>FIE60-2024-2025-0153</t>
  </si>
  <si>
    <t>FIE60-2024-2025-0147</t>
  </si>
  <si>
    <t>FIE60-2024-2025-0149</t>
  </si>
  <si>
    <t>FIE60-2024-2025-0138</t>
  </si>
  <si>
    <t>FIE60-2024-2025-0154</t>
  </si>
  <si>
    <t>FIE60-2024-2025-0140</t>
  </si>
  <si>
    <t>FIE60-2024-2025-0159</t>
  </si>
  <si>
    <t>FIE60-2024-2025-0139</t>
  </si>
  <si>
    <t>FIE60-2024-2025-0145</t>
  </si>
  <si>
    <t>FIE60-2024-2025-0136</t>
  </si>
  <si>
    <t>FIE60-2024-2025-0146</t>
  </si>
  <si>
    <t>FIE60-2024-2025-0079</t>
  </si>
  <si>
    <t>2025-000290</t>
  </si>
  <si>
    <t>2025-000292</t>
  </si>
  <si>
    <t>2025-000297</t>
  </si>
  <si>
    <t>2025-000299</t>
  </si>
  <si>
    <t>2025-000298</t>
  </si>
  <si>
    <t>2025-000301</t>
  </si>
  <si>
    <t>2025-000300</t>
  </si>
  <si>
    <t>2025-000315</t>
  </si>
  <si>
    <t>2025-000314</t>
  </si>
  <si>
    <t>2025-000313</t>
  </si>
  <si>
    <t>2025-000311</t>
  </si>
  <si>
    <t>2025-000312</t>
  </si>
  <si>
    <t>2025-000316</t>
  </si>
  <si>
    <t>2025-000317</t>
  </si>
  <si>
    <t>2025-000326</t>
  </si>
  <si>
    <t>2025-000327</t>
  </si>
  <si>
    <t>2025-000328</t>
  </si>
  <si>
    <t>2025-000322</t>
  </si>
  <si>
    <t>2025-000332</t>
  </si>
  <si>
    <t>2025-000329</t>
  </si>
  <si>
    <t>2025-000330</t>
  </si>
  <si>
    <t>2025-000336</t>
  </si>
  <si>
    <t>2025-000335</t>
  </si>
  <si>
    <t>2025-000334</t>
  </si>
  <si>
    <t>2025-000333</t>
  </si>
  <si>
    <t>2025-000339</t>
  </si>
  <si>
    <t>2025-000342</t>
  </si>
  <si>
    <t>2025-000340</t>
  </si>
  <si>
    <t>2025-000343</t>
  </si>
  <si>
    <t>2025-000350</t>
  </si>
  <si>
    <t>2025-000344</t>
  </si>
  <si>
    <t>2025-000349</t>
  </si>
  <si>
    <t>2025-000352</t>
  </si>
  <si>
    <t>PROFESSIONAL ASPHALT LLC</t>
  </si>
  <si>
    <t>HEWLETT PACKARD ENTERPRISE HOLDINGS CRL</t>
  </si>
  <si>
    <t>LITTLE THINGS LLC</t>
  </si>
  <si>
    <t>HEWLETT PACKARD ENTERPRISE CRL</t>
  </si>
  <si>
    <t>HEWLETT PACKARD ENTERPRISE V LLC</t>
  </si>
  <si>
    <t>HEWLETT PACKARD ENTERPRISE I LLC</t>
  </si>
  <si>
    <t>HEWLETT PACKARD ENTERPRISE III LLC</t>
  </si>
  <si>
    <t>HEWLETT PACKARD ENTERPRISE IV LLC</t>
  </si>
  <si>
    <t>HACIENDA CHOCOLAT CORPORATION</t>
  </si>
  <si>
    <t>GUEISHANT J. OCASIO RODRIGUEZ</t>
  </si>
  <si>
    <t>THE FISH OCEAN GRILL</t>
  </si>
  <si>
    <t>PLANTA SOLAR, LLC</t>
  </si>
  <si>
    <t>GIBRAN L COLON RENTAS</t>
  </si>
  <si>
    <t>BRAIN CONNECTIONS CORP</t>
  </si>
  <si>
    <t>FELCO, INC</t>
  </si>
  <si>
    <t>ED DIGITAL LLC</t>
  </si>
  <si>
    <t>HIGH KITCHEN, LLC</t>
  </si>
  <si>
    <t>HOGAR VILLA EBENEZER, LLC</t>
  </si>
  <si>
    <t>CATALA ORTIZ, LLC</t>
  </si>
  <si>
    <t>BRANCH JUSTICES INVESTIGATIONS (BJI), C.S.P.</t>
  </si>
  <si>
    <t>EMPRESARIOS POR PUERTO RICO</t>
  </si>
  <si>
    <t>Otros - SERVICIOS PROFESIONALES PROGRAMA DE CINE</t>
  </si>
  <si>
    <t>SAN SEBASTIÁN</t>
  </si>
  <si>
    <t xml:space="preserve"> Asfalto Reciclado</t>
  </si>
  <si>
    <t>Proyecto HPE PR Site Investment</t>
  </si>
  <si>
    <t>Elaboración de Productos derivados de la Pana y otras viandas</t>
  </si>
  <si>
    <t>Proyecto HPE PR Site Improvement</t>
  </si>
  <si>
    <t>RÍO GRANDE</t>
  </si>
  <si>
    <t>Elaboración de barras de chocolate y productos derivados del cacao</t>
  </si>
  <si>
    <t>Programas y alianzas</t>
  </si>
  <si>
    <t>11/202/2025</t>
  </si>
  <si>
    <t>Manufactura de muebles institucionales, del hogar y productos relacionados</t>
  </si>
  <si>
    <t>FIE60-2024-2025-0008</t>
  </si>
  <si>
    <t>2024-001025-A</t>
  </si>
  <si>
    <t>Manufactura de mattresses y Box Springs</t>
  </si>
  <si>
    <t>FIE60-2024-2025-0014</t>
  </si>
  <si>
    <t>2024-001025-B</t>
  </si>
  <si>
    <t>FIE60-2023-2024-0324</t>
  </si>
  <si>
    <t>2024-000956-B</t>
  </si>
  <si>
    <t>FIE60-2024-2025-0010</t>
  </si>
  <si>
    <t>2024-000956-C</t>
  </si>
  <si>
    <t>2024-001027-A</t>
  </si>
  <si>
    <t>FIE60-2024-2025-0026</t>
  </si>
  <si>
    <t>2024-001027-B</t>
  </si>
  <si>
    <t>FIE60-2024-2025-0105</t>
  </si>
  <si>
    <t>2024-001009-C</t>
  </si>
  <si>
    <t>FIE60-2024-2025-0009</t>
  </si>
  <si>
    <t>2024-001026-B</t>
  </si>
  <si>
    <t>FIE60-2024-2025-0024</t>
  </si>
  <si>
    <t>2024-000939-B</t>
  </si>
  <si>
    <t>FIE60-2024-2025-0012</t>
  </si>
  <si>
    <t>Cash Grant Incentives under Law 8 - 1986, Law 166-1995, Law 73-2008, Law 60-2019</t>
  </si>
  <si>
    <t>FIE60-2024-2025-0158</t>
  </si>
  <si>
    <t>FIE60-2024-2025-0132</t>
  </si>
  <si>
    <t>FIE60-2024-2025-0171</t>
  </si>
  <si>
    <t>FIE60-2024-2025-0081</t>
  </si>
  <si>
    <t>FIE60-2024-2025-0107</t>
  </si>
  <si>
    <t>FIE60-2024-2025-0106</t>
  </si>
  <si>
    <t>FIE60-2024-2025-0161</t>
  </si>
  <si>
    <t>FIE60-2024-2025-0162</t>
  </si>
  <si>
    <t>FIE60-2024-2025-0172</t>
  </si>
  <si>
    <t>FIE60-2024-2025-0190</t>
  </si>
  <si>
    <t>FIE60-2024-2025-0189</t>
  </si>
  <si>
    <t>FIE60-2024-2025-0188</t>
  </si>
  <si>
    <t>FIE60-2024-2025-0169</t>
  </si>
  <si>
    <t>FIE60-2024-2025-0164</t>
  </si>
  <si>
    <t>FIE60-2024-2025-0160</t>
  </si>
  <si>
    <t>FIE60-2024-2025-0168</t>
  </si>
  <si>
    <t>FIE60-2024-2025-0166</t>
  </si>
  <si>
    <t>FIE60-2024-2025-0165</t>
  </si>
  <si>
    <t>FIE60-2024-2025-0176</t>
  </si>
  <si>
    <t>FIE60-2024-2025-0186</t>
  </si>
  <si>
    <t>FIE60-2024-2025-0187</t>
  </si>
  <si>
    <t>2025-000354</t>
  </si>
  <si>
    <t>2025-000361</t>
  </si>
  <si>
    <t>2025-000347</t>
  </si>
  <si>
    <t>2025-000365</t>
  </si>
  <si>
    <t>2025-000372</t>
  </si>
  <si>
    <t>2025-000373</t>
  </si>
  <si>
    <t>2025-000371</t>
  </si>
  <si>
    <t>2025-000386</t>
  </si>
  <si>
    <t>2025-000390</t>
  </si>
  <si>
    <t>2025-000391</t>
  </si>
  <si>
    <t>2025-000392</t>
  </si>
  <si>
    <t>2025-000381</t>
  </si>
  <si>
    <t>2025-000382</t>
  </si>
  <si>
    <t>2025-000247-A</t>
  </si>
  <si>
    <t>2025-000403</t>
  </si>
  <si>
    <t>2025-000302-A</t>
  </si>
  <si>
    <t>2025-000398</t>
  </si>
  <si>
    <t>2025-000397</t>
  </si>
  <si>
    <t>2025-000405</t>
  </si>
  <si>
    <t>2025-000407</t>
  </si>
  <si>
    <t>2025-000404</t>
  </si>
  <si>
    <t>2025-000406</t>
  </si>
  <si>
    <t>2025-000412</t>
  </si>
  <si>
    <t>2025-000413</t>
  </si>
  <si>
    <t>2025-000411</t>
  </si>
  <si>
    <t>2025-000408</t>
  </si>
  <si>
    <t>2025-000409</t>
  </si>
  <si>
    <t>2025-000348</t>
  </si>
  <si>
    <t>FITNESS PROTOCOL CORPORATION HNC TRINITY FITNESS</t>
  </si>
  <si>
    <t>YAJAIRA DIAZ LOPEZ</t>
  </si>
  <si>
    <t>MENTOR TECHNICAL GROUP CORP</t>
  </si>
  <si>
    <t>CAFE DEL ABUELO, INC. HNC COLMADO CENTRO DEL BEBE CAFE DEL ABUELO</t>
  </si>
  <si>
    <t>BARD SHANNON LTD.</t>
  </si>
  <si>
    <t>SABOR BORICUA LLC</t>
  </si>
  <si>
    <t>URBAN TREADZ, LLC</t>
  </si>
  <si>
    <t>JSR SERVICES, LLC</t>
  </si>
  <si>
    <t>LOURDES FERNANDEZ RIOS</t>
  </si>
  <si>
    <t>XTILLION, LLC</t>
  </si>
  <si>
    <t>LATIN SHOTS, INC</t>
  </si>
  <si>
    <t>KGA ELECTROPLATING, LLC</t>
  </si>
  <si>
    <t>Incentivo para Manufactura de Muebles y Textiles - Ley 8</t>
  </si>
  <si>
    <t>Incentivo para Actividades de Mercadeo</t>
  </si>
  <si>
    <t>Ponce</t>
  </si>
  <si>
    <t>ROBERTO GONZALEZ O'NEILL</t>
  </si>
  <si>
    <t>2025-000160</t>
  </si>
  <si>
    <t>MIGUEL A. DÍAZ ESCALERA</t>
  </si>
  <si>
    <t>2025-000172</t>
  </si>
  <si>
    <t>ABBVIE BIOTECHNOLOGY, LTD</t>
  </si>
  <si>
    <t>FIDEICOMISO PARA CIENCIAS, TECNOLOGÍA</t>
  </si>
  <si>
    <t>FIE60-2023-2024-0038</t>
  </si>
  <si>
    <t>2024-000165-A</t>
  </si>
  <si>
    <t>2020-000365-A</t>
  </si>
  <si>
    <t>Inversion en maquinaria y equipo/Ley 73-2008</t>
  </si>
  <si>
    <t>K &amp; L MARKETING SERVICES LLC</t>
  </si>
  <si>
    <t>Auspicio Evento PDJ Expo Graduandos</t>
  </si>
  <si>
    <t>2024-000778</t>
  </si>
  <si>
    <t>ARTE APOTEOSICO, LLC</t>
  </si>
  <si>
    <t>Producción de "Capetillo"</t>
  </si>
  <si>
    <t>2024-000794</t>
  </si>
  <si>
    <t>MATININO, LLC</t>
  </si>
  <si>
    <t>Proyecto de largometraje</t>
  </si>
  <si>
    <t>ON POINT STRATEGY, LLC</t>
  </si>
  <si>
    <t>PCE Programa Alianzas</t>
  </si>
  <si>
    <t>2023-002333-C</t>
  </si>
  <si>
    <t>2024-001026-C</t>
  </si>
  <si>
    <t>FIE60-2024-2025-0129</t>
  </si>
  <si>
    <t>2024-000956-D</t>
  </si>
  <si>
    <t>FIE60-2024-2025-0128</t>
  </si>
  <si>
    <r>
      <t>Pareo de fondos requerido bajo la subvención concedida (</t>
    </r>
    <r>
      <rPr>
        <i/>
        <sz val="11"/>
        <color theme="1"/>
        <rFont val="Calibri"/>
        <family val="2"/>
        <scheme val="minor"/>
      </rPr>
      <t>grant</t>
    </r>
    <r>
      <rPr>
        <sz val="11"/>
        <color theme="1"/>
        <rFont val="Calibri"/>
        <family val="2"/>
        <scheme val="minor"/>
      </rPr>
      <t>) por el nist-mep</t>
    </r>
  </si>
  <si>
    <t>JUAN G. GONZÁLEZ RÍOS</t>
  </si>
  <si>
    <t>2025-000170</t>
  </si>
  <si>
    <t>ANA G. SERRANO OCASIO</t>
  </si>
  <si>
    <t>2025-000146-A</t>
  </si>
  <si>
    <t>2025-000148-A</t>
  </si>
  <si>
    <t>2025-000155</t>
  </si>
  <si>
    <t>2025-000156</t>
  </si>
  <si>
    <t>2025-000159</t>
  </si>
  <si>
    <t>2025-000158</t>
  </si>
  <si>
    <t>JUAN MARTÍNEZ NEGRÓN</t>
  </si>
  <si>
    <t>ADRIANA POLANCO REYES</t>
  </si>
  <si>
    <t>1403% / cancelado porque venció</t>
  </si>
  <si>
    <t>269% / Contrato Vencido</t>
  </si>
  <si>
    <t>275% / Contrato Vencido 1/10/2025</t>
  </si>
  <si>
    <t>764% / Cierre de Fábrica</t>
  </si>
  <si>
    <t>2021-000010-A</t>
  </si>
  <si>
    <t>764% - Cierre de Fábrica</t>
  </si>
  <si>
    <t>2025-000420</t>
  </si>
  <si>
    <t>2025-000421</t>
  </si>
  <si>
    <t>2025-000419</t>
  </si>
  <si>
    <t>FIE60-2024-2025-0175</t>
  </si>
  <si>
    <t>2025-000417</t>
  </si>
  <si>
    <t>FIE60-2024-2025-0167</t>
  </si>
  <si>
    <t>2025-000418</t>
  </si>
  <si>
    <t>2025-000425</t>
  </si>
  <si>
    <t>FIE60-2024-2025-0035</t>
  </si>
  <si>
    <t>2025-000430</t>
  </si>
  <si>
    <t>2025-000429</t>
  </si>
  <si>
    <t>2025-000427</t>
  </si>
  <si>
    <t>2025-000426</t>
  </si>
  <si>
    <t>2025-000428</t>
  </si>
  <si>
    <t>2025-000432</t>
  </si>
  <si>
    <t>2025-000438</t>
  </si>
  <si>
    <t>2025-000434</t>
  </si>
  <si>
    <t>2025-000439</t>
  </si>
  <si>
    <t>2025-000437</t>
  </si>
  <si>
    <t>2025-000436</t>
  </si>
  <si>
    <t>M&amp;R ACCOUNTANTS LLC H/N/C PROFESSIONAL FINANCIAL GROUP</t>
  </si>
  <si>
    <t xml:space="preserve">CARLOS LEBRON H/N/C OPTIMUM THERAPY </t>
  </si>
  <si>
    <t>RLR FOOD SERVICE INC H/N/C LUIS PIZZA PALACE</t>
  </si>
  <si>
    <t>PARTO LLC</t>
  </si>
  <si>
    <t>ALEXIS J FERNANDEZ NIEVES</t>
  </si>
  <si>
    <t>ZULEMARIA FELICIANO DELGADO</t>
  </si>
  <si>
    <t>GONZALO F DEL RIO MONTESINOS</t>
  </si>
  <si>
    <t>IRIS M GONZALEZ COLON</t>
  </si>
  <si>
    <t>JORGE R LABOY REIFKOHL</t>
  </si>
  <si>
    <t>ELYMAR POLANCO DOMINGUEZ</t>
  </si>
  <si>
    <t>CHRIS A MORALES COLON</t>
  </si>
  <si>
    <t>CANÓVANAS</t>
  </si>
  <si>
    <t>LOÍZA</t>
  </si>
  <si>
    <t>Película "Parto"</t>
  </si>
  <si>
    <t>KIAN LEE FOSTER ORTIZ</t>
  </si>
  <si>
    <t>JABES ROBLES MAÑÁN</t>
  </si>
  <si>
    <t>JOARIS CORTÉS PÉREZ</t>
  </si>
  <si>
    <t>GERIAM NICOLE RUIZ BARRETO</t>
  </si>
  <si>
    <t>LUIS CARRASQUILLO LANZO</t>
  </si>
  <si>
    <t>PLANTACIÓN VELÁZQUEZ IRIZARRY</t>
  </si>
  <si>
    <t>POLYMORPH FILMS, LLC</t>
  </si>
  <si>
    <t>THERMO KING PUERTO RICO MANUFACTURING, INC.</t>
  </si>
  <si>
    <t>BLUE-BAR FOODS, LLC</t>
  </si>
  <si>
    <t>PUERTO RICO FILM ACADEMY, INC.</t>
  </si>
  <si>
    <t>LITTLE THINGS,LLC</t>
  </si>
  <si>
    <t>GRANOS LAS DELICIAS, LLC</t>
  </si>
  <si>
    <t>EFRAÍN GONZÁLEZ RUBIO</t>
  </si>
  <si>
    <t>NORMARI LÓPEZ LABOY</t>
  </si>
  <si>
    <t>FIE60-2024-2025-0192</t>
  </si>
  <si>
    <t>2025-000444</t>
  </si>
  <si>
    <t>FIE60-2024-2025-0191</t>
  </si>
  <si>
    <t>2025-000445</t>
  </si>
  <si>
    <t>2025-000265-A</t>
  </si>
  <si>
    <t>FIE60-2024-2025-0195</t>
  </si>
  <si>
    <t>2025-000446</t>
  </si>
  <si>
    <t>FIE60-2024-2025-0143</t>
  </si>
  <si>
    <t>2025-000442</t>
  </si>
  <si>
    <t>FIE60-2024-2025-0144</t>
  </si>
  <si>
    <t>2025-000443</t>
  </si>
  <si>
    <t>2025-000451</t>
  </si>
  <si>
    <t>2025-000456</t>
  </si>
  <si>
    <t>2025-000457</t>
  </si>
  <si>
    <t>2025-000453</t>
  </si>
  <si>
    <t>2025-000470</t>
  </si>
  <si>
    <t>FIE60-2024-2025-0179</t>
  </si>
  <si>
    <t>2025-000448</t>
  </si>
  <si>
    <t>FIE60-2024-2025-0177</t>
  </si>
  <si>
    <t>2025-000449</t>
  </si>
  <si>
    <t>FIE60-2024-2025-0170</t>
  </si>
  <si>
    <t>2025-000447</t>
  </si>
  <si>
    <t>2025-000454</t>
  </si>
  <si>
    <t>2025-000476</t>
  </si>
  <si>
    <t>2025-000475</t>
  </si>
  <si>
    <t>2025-000468</t>
  </si>
  <si>
    <t>2025-000459</t>
  </si>
  <si>
    <t>2025-000473</t>
  </si>
  <si>
    <t>2025-000474</t>
  </si>
  <si>
    <t>2025-000466</t>
  </si>
  <si>
    <t>2025-000461</t>
  </si>
  <si>
    <t>2025-000458</t>
  </si>
  <si>
    <t>2025-000460</t>
  </si>
  <si>
    <t>2025-000455</t>
  </si>
  <si>
    <t>2025-000463</t>
  </si>
  <si>
    <t>2025-000462</t>
  </si>
  <si>
    <t>2025-000472</t>
  </si>
  <si>
    <t>2025-000467</t>
  </si>
  <si>
    <t>2025-000471</t>
  </si>
  <si>
    <t>2025-000469</t>
  </si>
  <si>
    <t>2025-000465</t>
  </si>
  <si>
    <t>2025-000464</t>
  </si>
  <si>
    <t>2025-000479</t>
  </si>
  <si>
    <t>2025-000482</t>
  </si>
  <si>
    <t>2025-00044</t>
  </si>
  <si>
    <t>2025-000481</t>
  </si>
  <si>
    <t>2025-000485</t>
  </si>
  <si>
    <t>2025-000483</t>
  </si>
  <si>
    <t>2025-000492</t>
  </si>
  <si>
    <t>2025-000486</t>
  </si>
  <si>
    <t>2025-000491</t>
  </si>
  <si>
    <t>2025-000496</t>
  </si>
  <si>
    <t>2025-000494</t>
  </si>
  <si>
    <t>2025-000495</t>
  </si>
  <si>
    <t>2025-000499</t>
  </si>
  <si>
    <t>2025-000497</t>
  </si>
  <si>
    <t>2025-000516</t>
  </si>
  <si>
    <t>2025-000511</t>
  </si>
  <si>
    <t>2025-000505</t>
  </si>
  <si>
    <t>2025-000502</t>
  </si>
  <si>
    <t>2025-000509</t>
  </si>
  <si>
    <t>2025-000503</t>
  </si>
  <si>
    <t>2025-000506</t>
  </si>
  <si>
    <t>2025-000510</t>
  </si>
  <si>
    <t>2025-000504</t>
  </si>
  <si>
    <t>2025-000508</t>
  </si>
  <si>
    <t>2025-000498</t>
  </si>
  <si>
    <t>2025-000514</t>
  </si>
  <si>
    <t>2025-000507</t>
  </si>
  <si>
    <t>2025-000515</t>
  </si>
  <si>
    <t>2025-000512</t>
  </si>
  <si>
    <t>2025-000513</t>
  </si>
  <si>
    <t>MONTELLANO BREAD FACTORY INC</t>
  </si>
  <si>
    <t>ETHICON LLC</t>
  </si>
  <si>
    <t>MARTA R. ROMAN RUIZ / LUSH BY BECKY</t>
  </si>
  <si>
    <t>TITAN GAMES CORP.</t>
  </si>
  <si>
    <t>VILLA DESIGN</t>
  </si>
  <si>
    <t>STELLA DI MARIE</t>
  </si>
  <si>
    <t>Orquid LLC H/N/C Marsella Rest.</t>
  </si>
  <si>
    <t>TIBIRI TABARA HOLDINGS, LLC</t>
  </si>
  <si>
    <t>WASH &amp; WEAR DRY CLEANING INC</t>
  </si>
  <si>
    <t xml:space="preserve">GUILLERMO ALVAREZ CALDERON </t>
  </si>
  <si>
    <t>LILLIAM MARTINEZ H/N/C TAXES LR</t>
  </si>
  <si>
    <t>EMPRESAS VALDES &amp; CEDENO II LLC H/N/C EL 69</t>
  </si>
  <si>
    <t>ACAIZ LLC H/N/C AMOR Y SAL</t>
  </si>
  <si>
    <t>ORTIZ OPTOMETRIC CARE LLC</t>
  </si>
  <si>
    <t>HRCOM INC</t>
  </si>
  <si>
    <t>EIRAMYL SALON &amp; SPA</t>
  </si>
  <si>
    <t>HAPPY CREATIONS BAKERY LLC HNC DULCE MASA</t>
  </si>
  <si>
    <t>LA FUENTE LUNCH BREAK CORP</t>
  </si>
  <si>
    <t>NEXOS PROPOSAL AGENCY, LLC</t>
  </si>
  <si>
    <t>HGR PARAMEDIC TRANSPORT, INC</t>
  </si>
  <si>
    <t>LUZ D. ROBLES H/N/C FARMACIA YADANIA</t>
  </si>
  <si>
    <t>ANDANZA, INC</t>
  </si>
  <si>
    <t>BRAIN MAFIA LLC H/N/C BRAIN LIBRE</t>
  </si>
  <si>
    <t>AVILES &amp; CABAN CELLULAR CORP</t>
  </si>
  <si>
    <t>LISEIDA RONDON REYMUNDI</t>
  </si>
  <si>
    <t>FABIAN ANDRES GOMEZ</t>
  </si>
  <si>
    <t>BILINGUAL DIETITIAN</t>
  </si>
  <si>
    <t>TIERRA AROMATICA LLC</t>
  </si>
  <si>
    <t>D &amp; P H/N/C FARMACIA LA BOTICA</t>
  </si>
  <si>
    <t>ALEXIS J ROLDAN H/N/C VITAL HOME CARE</t>
  </si>
  <si>
    <t>ASIEL LLC</t>
  </si>
  <si>
    <t>FAST LLC</t>
  </si>
  <si>
    <t>GABRIEL A MADERA SANTIAGO</t>
  </si>
  <si>
    <t>GABRIELA SANTIAGO RUIZ</t>
  </si>
  <si>
    <t>ALIEK O MEDINA SCOTT</t>
  </si>
  <si>
    <t>ANA S FIGUEROA NAVARRO</t>
  </si>
  <si>
    <t>JOSUE M IRIZARRY BREBAN</t>
  </si>
  <si>
    <t>GIANCARLO R SANCHEZ CASTRO</t>
  </si>
  <si>
    <t>KYLIE RUIZ FELICIANO</t>
  </si>
  <si>
    <t>MARIALEXANDRA ADDARICH FIGUEROA</t>
  </si>
  <si>
    <t>ALBERTO E ALFONSO GARCIA</t>
  </si>
  <si>
    <t xml:space="preserve">BRENDALIS RODRIGUEZ TORRES </t>
  </si>
  <si>
    <t>Mejoras de Infraestructura</t>
  </si>
  <si>
    <t>VÍCTOR R. RIVERA RIVERA  HNC BABY CITY MINI MARKET</t>
  </si>
  <si>
    <t>FIE60-2024-2025-0034</t>
  </si>
  <si>
    <t>2025-000249</t>
  </si>
  <si>
    <t>Programa de apoyo a empresarios minoritarios.  Se canceló conforme a correo electrónico del 6 de febrerode 2025.</t>
  </si>
  <si>
    <t>239%. Se canceló esa cuantía por inclumplimiento de contrato.</t>
  </si>
  <si>
    <t>Programa de apoyo a empresarios minoritarios.  Contrato vencido</t>
  </si>
  <si>
    <t>Programa de apoyo a empresarios minoritarios. Contrato vencido</t>
  </si>
  <si>
    <t>Auspicio.  Contrato vencido.</t>
  </si>
  <si>
    <t>756%.  Contrato Vencido</t>
  </si>
  <si>
    <t>2025-000245</t>
  </si>
  <si>
    <t>Escuela taller de artesanías, Taller en Toa Baja</t>
  </si>
  <si>
    <t>2025-000163</t>
  </si>
  <si>
    <t>2025-000402</t>
  </si>
  <si>
    <t>DOBLE VIBRA ENTERTAINMENT, LLC</t>
  </si>
  <si>
    <t>Desarrollo de la Industria Cinematográfica</t>
  </si>
  <si>
    <t>Incentivo cinemascorto-PDIC</t>
  </si>
  <si>
    <t>2025-000309</t>
  </si>
  <si>
    <t>NAIDELIZ FELICIANO CANINO</t>
  </si>
  <si>
    <t>ABEXUS, LLC</t>
  </si>
  <si>
    <t>2025-000319</t>
  </si>
  <si>
    <t>WALDEMAR RODRÍGUEZ TORRES</t>
  </si>
  <si>
    <t>2025-000171</t>
  </si>
  <si>
    <t>GABRIELA RAMOS ORTIZ</t>
  </si>
  <si>
    <t>Taller ofrecido en el Renglón Hilorama Escuela Guaynabo</t>
  </si>
  <si>
    <t>ANDREA M. AMADOR OTERO</t>
  </si>
  <si>
    <t>2025-000431</t>
  </si>
  <si>
    <t>12/272024</t>
  </si>
  <si>
    <t>BRIAN J. CRUZ CASTRO</t>
  </si>
  <si>
    <t>POLLORIQUEÑO BBQ</t>
  </si>
  <si>
    <t>MAUNABO</t>
  </si>
  <si>
    <t>2025</t>
  </si>
  <si>
    <t>FIE60-2024-2025-0194</t>
  </si>
  <si>
    <t>FIE60-2024-2025-0199</t>
  </si>
  <si>
    <t>FIE60-2024-2025-0239</t>
  </si>
  <si>
    <t>2025-000553</t>
  </si>
  <si>
    <t>2025-000279-A</t>
  </si>
  <si>
    <t>2025-000529</t>
  </si>
  <si>
    <t>2025-000532</t>
  </si>
  <si>
    <t>2025-000544</t>
  </si>
  <si>
    <t>2025-000530</t>
  </si>
  <si>
    <t>2025-000547</t>
  </si>
  <si>
    <t>2025-000537</t>
  </si>
  <si>
    <t>2025-000539</t>
  </si>
  <si>
    <t>2025-000541</t>
  </si>
  <si>
    <t>2025-000534</t>
  </si>
  <si>
    <t>2025-000552</t>
  </si>
  <si>
    <t>2025-000538</t>
  </si>
  <si>
    <t>2025-000556</t>
  </si>
  <si>
    <t>2025-000550</t>
  </si>
  <si>
    <t>2025-000554</t>
  </si>
  <si>
    <t>2025-000557</t>
  </si>
  <si>
    <t>2025-000559</t>
  </si>
  <si>
    <t>2025-000555</t>
  </si>
  <si>
    <t>2025-000558</t>
  </si>
  <si>
    <t>2025-000549</t>
  </si>
  <si>
    <t>2025-000562</t>
  </si>
  <si>
    <t>2025-000561</t>
  </si>
  <si>
    <t>2025-000560</t>
  </si>
  <si>
    <t>2025-000564</t>
  </si>
  <si>
    <t>2025-000566</t>
  </si>
  <si>
    <t>2025-000570</t>
  </si>
  <si>
    <t>2025-000573</t>
  </si>
  <si>
    <t>2025-000575</t>
  </si>
  <si>
    <t>LAS MARÍAS</t>
  </si>
  <si>
    <t>ALEXIS R APONTE ORTIZ H/N/C APONTE TRAVEL AGENCY</t>
  </si>
  <si>
    <t>ALTURAS SUPERMARKET, INC</t>
  </si>
  <si>
    <t>SUNTAN PR ESTHETIC LLC</t>
  </si>
  <si>
    <t>DESIGN IN PUERTO RICO LLC</t>
  </si>
  <si>
    <t>TS MICROBLANDING BROW &amp; MORE CORP</t>
  </si>
  <si>
    <t>PR FIVE PALLETS, LLC</t>
  </si>
  <si>
    <t>INPROMO LLC</t>
  </si>
  <si>
    <t>TERRAVERDE LLC</t>
  </si>
  <si>
    <t>GRUPO ANTONELLA LLC</t>
  </si>
  <si>
    <t>JAVIER J DELGADO PEREZ</t>
  </si>
  <si>
    <t>ABDIEL SANTIAGO ORTIZ</t>
  </si>
  <si>
    <t>CENTRO DE TERAPIA INISIA, LLC</t>
  </si>
  <si>
    <t>GRAFIKBOX</t>
  </si>
  <si>
    <t>BRYANT LUGO VILLANUEVA</t>
  </si>
  <si>
    <t>MARYANGELIE SOTO EGEA</t>
  </si>
  <si>
    <t>CLARIBEL ACOSTA JIMENEZ</t>
  </si>
  <si>
    <t>CENTRO CULTURAL CARMEN SOLA DE PEREIRA</t>
  </si>
  <si>
    <t>SOFIA E BERNARD SANTOS</t>
  </si>
  <si>
    <t xml:space="preserve">MUNICIPIO DE LARES </t>
  </si>
  <si>
    <t>A&amp;A ACCOUNTING SERVICES LLC</t>
  </si>
  <si>
    <t>N &amp; D PRODUCS</t>
  </si>
  <si>
    <t>TERESITA FUENTES</t>
  </si>
  <si>
    <t>Incentivo Actividades de Mercadeo</t>
  </si>
  <si>
    <t xml:space="preserve">Servicios Profesionales </t>
  </si>
  <si>
    <t>Gastos de Servicios Profesionales</t>
  </si>
  <si>
    <t>JESÚS M. GANDÍA LÓPEZ</t>
  </si>
  <si>
    <t>2025-000580</t>
  </si>
  <si>
    <t>FIE60-2024-2025-000533</t>
  </si>
  <si>
    <t>2025-000533</t>
  </si>
  <si>
    <t>FIE60-2024-2025-0209</t>
  </si>
  <si>
    <t>2025-000578</t>
  </si>
  <si>
    <t>FIE60-2024-2025-0208</t>
  </si>
  <si>
    <t>2025-000577</t>
  </si>
  <si>
    <t>ROI 360%</t>
  </si>
  <si>
    <t>CARMEN M. RENTA GUTIÉRREZ</t>
  </si>
  <si>
    <t>2025-000271</t>
  </si>
  <si>
    <t>22/10/2024</t>
  </si>
  <si>
    <t>CONPRMETIDOS, CORP.</t>
  </si>
  <si>
    <t>VERI BAKERS FACTORY LLC</t>
  </si>
  <si>
    <r>
      <t>Programa de apoyo a empresarios minoritarios / Contrato Vencido 1/10/2025.</t>
    </r>
    <r>
      <rPr>
        <sz val="8"/>
        <rFont val="Calibri"/>
        <family val="2"/>
      </rPr>
      <t xml:space="preserve">  EN MARZO CON W002599 REALIZARON UN PAGO POR 6,476.25.</t>
    </r>
    <r>
      <rPr>
        <sz val="11"/>
        <rFont val="Calibri"/>
        <family val="2"/>
      </rPr>
      <t>K CANCELADO</t>
    </r>
  </si>
  <si>
    <t>132% / Contrato Vencido 1/27/2025.  EMITIERON PAGO CON W002591 EN MARZO 2025.  VER EMAIL EUNICE YGLESIAS</t>
  </si>
  <si>
    <t>2024-001061-A</t>
  </si>
  <si>
    <t>FIE60-2023-2024-0328</t>
  </si>
  <si>
    <t>FIE60-2024-2025-0135</t>
  </si>
  <si>
    <t>2024-001061-C</t>
  </si>
  <si>
    <t>2025-000523</t>
  </si>
  <si>
    <t>GIANCARLOS ISIDOR PAGÁN</t>
  </si>
  <si>
    <t>FIE60-2024-2025-0046</t>
  </si>
  <si>
    <t>2025-000318</t>
  </si>
  <si>
    <t>RAINCOAT</t>
  </si>
  <si>
    <t xml:space="preserve">PYMES Innovadoras </t>
  </si>
  <si>
    <t>2024-000623-B</t>
  </si>
  <si>
    <t>2023-002483-A</t>
  </si>
  <si>
    <t>FIE60-2024-2025-0013</t>
  </si>
  <si>
    <t>2024-001061-B</t>
  </si>
  <si>
    <t>JESUS M. GANDÍA LÓPEZ</t>
  </si>
  <si>
    <t>Taller renglón de barro en torno Municipio Las Piedras</t>
  </si>
  <si>
    <t>45%.  Se canceló el 3-5-2025 por incumplimiento de base.</t>
  </si>
  <si>
    <t>2021-000248-A</t>
  </si>
  <si>
    <t>FIE60-2024-2025-0213</t>
  </si>
  <si>
    <t>FIE60-2024-2025-0200</t>
  </si>
  <si>
    <t>FIE60-2024-2025-0240</t>
  </si>
  <si>
    <t>FIE60-2024-2025-0241</t>
  </si>
  <si>
    <t>FIE60-2024-2025-0203</t>
  </si>
  <si>
    <t>FIE60-2024-2025-0236</t>
  </si>
  <si>
    <t>FIE60-2024-2025-0237</t>
  </si>
  <si>
    <t>FIE60-2024-2025-0238</t>
  </si>
  <si>
    <t>FIE60-2024-2025-0197</t>
  </si>
  <si>
    <t>FIE60-2024-2025-0221</t>
  </si>
  <si>
    <t>FIE60-2024-2025-0222</t>
  </si>
  <si>
    <t>FIE60-2024-2025-0178</t>
  </si>
  <si>
    <t>FIE60-2024-2025-0218</t>
  </si>
  <si>
    <t>FIE60-2024-2025-0205</t>
  </si>
  <si>
    <t>FIE60-2024-2025-0233</t>
  </si>
  <si>
    <t>FIE60-2024-2025-0234</t>
  </si>
  <si>
    <t>FIE60-2024-2025-0235</t>
  </si>
  <si>
    <t>FIE60-2024-2025-0274</t>
  </si>
  <si>
    <t>FIE60-2024-2025-0275</t>
  </si>
  <si>
    <t>FIE60-2024-2025-0266</t>
  </si>
  <si>
    <t>FIE60-2024-2025-0232</t>
  </si>
  <si>
    <t>FIE60-2024-2025-0196</t>
  </si>
  <si>
    <t>FIE60-2024-2025-0142</t>
  </si>
  <si>
    <t>FIE60-2024-2025-0280</t>
  </si>
  <si>
    <t>FIE60-2024-2025-0212</t>
  </si>
  <si>
    <t>FIE60-2024-2025-0290</t>
  </si>
  <si>
    <t>FIE60-2024-2025-0291</t>
  </si>
  <si>
    <t>FIE60-2024-2025-0289</t>
  </si>
  <si>
    <t>FIE60-2024-2025-0066</t>
  </si>
  <si>
    <t>FIE60-2024-2025-0271</t>
  </si>
  <si>
    <t>2025-000579</t>
  </si>
  <si>
    <t>2025-000592</t>
  </si>
  <si>
    <t>2025-000585</t>
  </si>
  <si>
    <t>2025-000586</t>
  </si>
  <si>
    <t>2025-000596</t>
  </si>
  <si>
    <t>2025-000581</t>
  </si>
  <si>
    <t>2025-000582</t>
  </si>
  <si>
    <t>2025-000583</t>
  </si>
  <si>
    <t>2025-000597</t>
  </si>
  <si>
    <t>2025-000594</t>
  </si>
  <si>
    <t>2025-000595</t>
  </si>
  <si>
    <t>2025-000591</t>
  </si>
  <si>
    <t>2025-000584</t>
  </si>
  <si>
    <t>2025-000587</t>
  </si>
  <si>
    <t>2025-000588</t>
  </si>
  <si>
    <t>2025-000589</t>
  </si>
  <si>
    <t>2025-000590</t>
  </si>
  <si>
    <t>2025-000607</t>
  </si>
  <si>
    <t>2025-000601</t>
  </si>
  <si>
    <t>2025-000598</t>
  </si>
  <si>
    <t>2025-000600</t>
  </si>
  <si>
    <t>2025-000604</t>
  </si>
  <si>
    <t>2025-000603</t>
  </si>
  <si>
    <t>2025-000605</t>
  </si>
  <si>
    <t>2025-000608</t>
  </si>
  <si>
    <t>2025-000602</t>
  </si>
  <si>
    <t>2025-000616</t>
  </si>
  <si>
    <t>2025-000637</t>
  </si>
  <si>
    <t>2025-000636</t>
  </si>
  <si>
    <t>2025-000639</t>
  </si>
  <si>
    <t>2025-000638</t>
  </si>
  <si>
    <t>2025-000645</t>
  </si>
  <si>
    <t>2025-000649</t>
  </si>
  <si>
    <t>2025-000642</t>
  </si>
  <si>
    <t>2025-000648</t>
  </si>
  <si>
    <t>2025-000650</t>
  </si>
  <si>
    <t>2025-000641</t>
  </si>
  <si>
    <t>2025-000643</t>
  </si>
  <si>
    <t>2025-000646</t>
  </si>
  <si>
    <t>2025-000644</t>
  </si>
  <si>
    <t>2025-000599</t>
  </si>
  <si>
    <t>2025-000627</t>
  </si>
  <si>
    <t>2025-000630</t>
  </si>
  <si>
    <t>2025-000629</t>
  </si>
  <si>
    <t>2025-000634</t>
  </si>
  <si>
    <t>2025-000633</t>
  </si>
  <si>
    <t>2025-000632</t>
  </si>
  <si>
    <t>2025-000628</t>
  </si>
  <si>
    <t>2025-000635</t>
  </si>
  <si>
    <t>CESAR CASTILLO LLC</t>
  </si>
  <si>
    <t>NAIVE LLC</t>
  </si>
  <si>
    <t>SNAKE ISLAND BREWING CORP</t>
  </si>
  <si>
    <t>BARTOLO DOC LLC</t>
  </si>
  <si>
    <t>BIENESTAR MOVEMENT LLC</t>
  </si>
  <si>
    <t>BRUNILDA HERNANDEZ RIVERA</t>
  </si>
  <si>
    <t>YARIMAR DIAZ CABRERA</t>
  </si>
  <si>
    <t>SANGRIA GIORGIO LLC</t>
  </si>
  <si>
    <t>JOSE Y  COLON COLON</t>
  </si>
  <si>
    <t>MADE BY COOKS, LLC</t>
  </si>
  <si>
    <t>LABORATORIO CLINICO VEGA CSP</t>
  </si>
  <si>
    <t>ALVAREZ ELECTRIC AND SOLAR SOLUTIONS, LLC</t>
  </si>
  <si>
    <t>MIA MAR, INC.</t>
  </si>
  <si>
    <t>JAQ RESTAURANTS LLC</t>
  </si>
  <si>
    <t>YOVIANA J FONTANEZ ZAYAS</t>
  </si>
  <si>
    <t>NORMA D HERNANDEZ MONROIG</t>
  </si>
  <si>
    <t>MAYRA COLON QUINTANA H/N/C LABORATORIO CLINICO HOYAMALA</t>
  </si>
  <si>
    <t>INTEGRATED ACCOUNTING SOLUTIONS JC CORP</t>
  </si>
  <si>
    <t>D LEITE LLC</t>
  </si>
  <si>
    <t>OH MY BY YANIRA LLC</t>
  </si>
  <si>
    <t>LINDA N LOZANO BORRERO</t>
  </si>
  <si>
    <t>BUSINESS INNOVATION GROUP LLC</t>
  </si>
  <si>
    <t>SMYT PROFESSIONAL SERVICES, LLC.</t>
  </si>
  <si>
    <t>D'WINN J COTTO RODRIGUEZ</t>
  </si>
  <si>
    <t>COOPERATIVA AGRO-COMERCIAL DE PUERTO RICO</t>
  </si>
  <si>
    <t>GREEN INTERNATIONAL LLC</t>
  </si>
  <si>
    <t>PESCADERIA CHUITO CORP</t>
  </si>
  <si>
    <t>Guaynabo</t>
  </si>
  <si>
    <t>Isabela</t>
  </si>
  <si>
    <t>Toa Baja</t>
  </si>
  <si>
    <t>Toa Alta</t>
  </si>
  <si>
    <t>Maricao</t>
  </si>
  <si>
    <t>Yabucoa</t>
  </si>
  <si>
    <t>Trujillo Alto</t>
  </si>
  <si>
    <t>Humacao</t>
  </si>
  <si>
    <t>Aguadilla</t>
  </si>
  <si>
    <t>San Sebastián</t>
  </si>
  <si>
    <t>Moca</t>
  </si>
  <si>
    <t>Naranjito</t>
  </si>
  <si>
    <t>Vega Baja</t>
  </si>
  <si>
    <t>Coamo</t>
  </si>
  <si>
    <t>Camuy</t>
  </si>
  <si>
    <t>Canóvanas</t>
  </si>
  <si>
    <t>Cayey</t>
  </si>
  <si>
    <t>Las Piedras</t>
  </si>
  <si>
    <t>Barranquitas</t>
  </si>
  <si>
    <t>Yauco</t>
  </si>
  <si>
    <t>Caguas</t>
  </si>
  <si>
    <t>Ciales</t>
  </si>
  <si>
    <t>Naguabo</t>
  </si>
  <si>
    <t>Empleo básico y localización</t>
  </si>
  <si>
    <t>Importancia de proyecto</t>
  </si>
  <si>
    <t>ROI 2242%</t>
  </si>
  <si>
    <t>ROI 1058%</t>
  </si>
  <si>
    <t>ROI 2501%</t>
  </si>
  <si>
    <t>ROI 501%</t>
  </si>
  <si>
    <t>ROI 2353%</t>
  </si>
  <si>
    <t>ROI 134%</t>
  </si>
  <si>
    <t>ROI 1105%</t>
  </si>
  <si>
    <t>ROI 295%</t>
  </si>
  <si>
    <t>ROI 168%</t>
  </si>
  <si>
    <t>ROI 3557%</t>
  </si>
  <si>
    <t>ROI 2237%</t>
  </si>
  <si>
    <t>ROI 241%</t>
  </si>
  <si>
    <t>ROI 220%</t>
  </si>
  <si>
    <t>ROI 231%</t>
  </si>
  <si>
    <t>ROI 102%</t>
  </si>
  <si>
    <t>ROI 870%</t>
  </si>
  <si>
    <t>826%.  Finanzas solicita cancelar  $28,000, ya que el contrato se venció eo 04-03-2025</t>
  </si>
  <si>
    <t>Balance cancelado solicitado por Finanzas el 04-10-2025</t>
  </si>
  <si>
    <t>Programa de apoyo a empresarios minoritarios.  Finanzas solicita cancelar balance al 4-10-2025</t>
  </si>
  <si>
    <t>Programa de apoyo a empresarios minoritarios.  Fianazas solicitó cancelar balance de $25.62 al 4-10-2025</t>
  </si>
  <si>
    <t>2024-000349</t>
  </si>
  <si>
    <t>Artesanía.  Finanzas solicita cancelar balance al 04-10-2025</t>
  </si>
  <si>
    <t>Auspicio.  Finanzas solicita cancelar balance al 04-10-2025</t>
  </si>
  <si>
    <t>Finanzas solicita cancelar balance al 4-10-2025</t>
  </si>
  <si>
    <t>2.24%.  Finanzas solicita cancelar balance al 4-10-2025</t>
  </si>
  <si>
    <t xml:space="preserve">Finanzas solicita cancelar balance al 4-10-2025  </t>
  </si>
  <si>
    <t>196%.  Finanzas solicita cancelar balance, ya que la industria incumple con el contrato 4-10-2025</t>
  </si>
  <si>
    <t>245%.  Finanzas solicito cancelar balance, ya que la empresa no cumplió con la base establecida. 4-21-2025</t>
  </si>
  <si>
    <t>181%.  Finanzas solicita cancelar balance al 4-21-2025, ya que la empresa solicito se cancelara vía correo electrónico el 03-18-2025</t>
  </si>
  <si>
    <t>245%.  Finanzas solicito cancelar balance, ya que la empresa no cumplió con la cláusula de dos años. 4-21-2025</t>
  </si>
  <si>
    <t>186%.  Finanzas solicita se cancele balance, ya que la empresa no cumple con la base.  4-21-2025</t>
  </si>
  <si>
    <t>2025-000257</t>
  </si>
  <si>
    <t>EMOTIONS PRODUCTIONS, LLC</t>
  </si>
  <si>
    <t>Auspicio Feria de Estudiante Senior</t>
  </si>
  <si>
    <t>Auspicio Camp. Cómprale al de Aquí</t>
  </si>
  <si>
    <t>FIE60-2024-2025-0003</t>
  </si>
  <si>
    <t>2025-000165</t>
  </si>
  <si>
    <t>INNOVATIO SOFTWARE SOLUTIONS INC</t>
  </si>
  <si>
    <t>2025-000273</t>
  </si>
  <si>
    <t>ARTESANOS DEL ESTE INC.</t>
  </si>
  <si>
    <t>Auspicio Celebraci[on 17mo Festival del Coco</t>
  </si>
  <si>
    <t>Inversión en Maquinaria y Equipo/Ley 60-2019</t>
  </si>
  <si>
    <t>2025-000524</t>
  </si>
  <si>
    <t>JOSUÉ CUEVAS SOTO</t>
  </si>
  <si>
    <t>2024-000074-B</t>
  </si>
  <si>
    <t>FIE60-2024-2025-0215</t>
  </si>
  <si>
    <t>FIE60-2024-2025-0216</t>
  </si>
  <si>
    <t>FIE60-2024-2025-0300</t>
  </si>
  <si>
    <t>FIE60-2024-2025-0217</t>
  </si>
  <si>
    <t>FIE60-2024-2025-0182</t>
  </si>
  <si>
    <t>FIE60-2024-2025-0183</t>
  </si>
  <si>
    <t>FIE60-2024-2025-0259</t>
  </si>
  <si>
    <t>FIE60-2024-2025-0258</t>
  </si>
  <si>
    <t>FIE60-2024-2025-0214</t>
  </si>
  <si>
    <t>FIE60-2024-2025-0037</t>
  </si>
  <si>
    <t>2025-000653</t>
  </si>
  <si>
    <t>2025-000655</t>
  </si>
  <si>
    <t>2025-000664</t>
  </si>
  <si>
    <t>2025-000659</t>
  </si>
  <si>
    <t>2025-000662</t>
  </si>
  <si>
    <t>2025-000660</t>
  </si>
  <si>
    <t>2025-000663</t>
  </si>
  <si>
    <t>2025-000678</t>
  </si>
  <si>
    <t>2025-000674</t>
  </si>
  <si>
    <t>2025-000675</t>
  </si>
  <si>
    <t>2025-000687</t>
  </si>
  <si>
    <t>2025-000684</t>
  </si>
  <si>
    <t>2025-000673</t>
  </si>
  <si>
    <t>2025-000685</t>
  </si>
  <si>
    <t>2025-000677</t>
  </si>
  <si>
    <t>2025-000688</t>
  </si>
  <si>
    <t>2025-000680</t>
  </si>
  <si>
    <t>2025-000679</t>
  </si>
  <si>
    <t>2025-000683</t>
  </si>
  <si>
    <t>2025-000681</t>
  </si>
  <si>
    <t>2025-000672</t>
  </si>
  <si>
    <t>2025-000690</t>
  </si>
  <si>
    <t>2025-000682</t>
  </si>
  <si>
    <t>2025-000686</t>
  </si>
  <si>
    <t>2025-000261-A</t>
  </si>
  <si>
    <t>2025-000694</t>
  </si>
  <si>
    <t>2025-000695</t>
  </si>
  <si>
    <t>2025-000696</t>
  </si>
  <si>
    <t>2025-000697</t>
  </si>
  <si>
    <t>2025-000698</t>
  </si>
  <si>
    <t>2025-000703</t>
  </si>
  <si>
    <t>2025-000254-A</t>
  </si>
  <si>
    <t>2025-000701</t>
  </si>
  <si>
    <t>2025-000654</t>
  </si>
  <si>
    <t>2025-000700</t>
  </si>
  <si>
    <t>2025-000716</t>
  </si>
  <si>
    <t>2025-000718</t>
  </si>
  <si>
    <t>2025-000709</t>
  </si>
  <si>
    <t>2025-000713</t>
  </si>
  <si>
    <t>2025-000717</t>
  </si>
  <si>
    <t>2025-000719</t>
  </si>
  <si>
    <t>2025-000708</t>
  </si>
  <si>
    <t>2025-000711</t>
  </si>
  <si>
    <t>2025-000720</t>
  </si>
  <si>
    <t>2025-000721</t>
  </si>
  <si>
    <t>2025-000722</t>
  </si>
  <si>
    <t>2025-000715</t>
  </si>
  <si>
    <t>2025-000723</t>
  </si>
  <si>
    <t>2025-000710</t>
  </si>
  <si>
    <t>2025-000355-A</t>
  </si>
  <si>
    <t>2025-000751</t>
  </si>
  <si>
    <t>Aguada</t>
  </si>
  <si>
    <t>San Germán</t>
  </si>
  <si>
    <t>Lajas</t>
  </si>
  <si>
    <t>Carolina</t>
  </si>
  <si>
    <t>Quebradillas</t>
  </si>
  <si>
    <t>Las Marías</t>
  </si>
  <si>
    <t>Juana Díaz</t>
  </si>
  <si>
    <t>Añasco</t>
  </si>
  <si>
    <t>Cidra</t>
  </si>
  <si>
    <t>Aibonito</t>
  </si>
  <si>
    <t>Loíza</t>
  </si>
  <si>
    <t>Morovis</t>
  </si>
  <si>
    <t>Cabo Rojo</t>
  </si>
  <si>
    <t>EB ALUMINUM SERVICES, INC.</t>
  </si>
  <si>
    <t>ISAAC GONZLAEZ ROMAN H/N/C AGROCENTRO ISABELINO</t>
  </si>
  <si>
    <t>MANIFESTO MOCKTAIL AND COFFEE BAR LLC</t>
  </si>
  <si>
    <t>PROSALUD MEDICAL CENTER PSC</t>
  </si>
  <si>
    <t>ANA PAOLA ATELIER</t>
  </si>
  <si>
    <t>INTEGRATED BUSINESS SOLUTIONS LLC</t>
  </si>
  <si>
    <t>AVA BEAUTY ESTHETIC</t>
  </si>
  <si>
    <t>MOY STUDIO</t>
  </si>
  <si>
    <t>WILBER LUGO HNC REVOLUTION BARBER SHOP</t>
  </si>
  <si>
    <t>MARISOL VELEZ HNC SANA CLINICA DE TERAPIA FISICA Y REHABILITACION</t>
  </si>
  <si>
    <t>HERMINIO AMADOR TRUCKING COMPANY, INC</t>
  </si>
  <si>
    <t>CENTRO EDUCATIVO ROI INC</t>
  </si>
  <si>
    <t>CHRISTIAN X SALGADO MERCADO H/N/C LA DISPUTA FOOD TRUCK</t>
  </si>
  <si>
    <t>CHRISTIAN RAMIREZ CARABALLO H/N/C CAR COLOR MAX</t>
  </si>
  <si>
    <t>OM STUDIO URBAN VIEW LLC</t>
  </si>
  <si>
    <t>VEB LLC</t>
  </si>
  <si>
    <t>GOLDEN SAVANNAH INC</t>
  </si>
  <si>
    <t>ALFREDO J QUINONES SANCHEZ H/N/C ALFRED2S PIZZA</t>
  </si>
  <si>
    <t>B GARDENS</t>
  </si>
  <si>
    <t>KEVIN O CASTRO BENEZARIO</t>
  </si>
  <si>
    <t>ADVANCE ACCOUNTING SERVICES, INC.</t>
  </si>
  <si>
    <t>PAPEL Y TIJERAS, INC.</t>
  </si>
  <si>
    <t>GREEN ACRES R&amp;D PROCESSORS, LLC</t>
  </si>
  <si>
    <t>COOPERVISION MANUFACTURING PR LLC</t>
  </si>
  <si>
    <t>CENTURY FROZEN FOODS, LLC</t>
  </si>
  <si>
    <t>TERRA NOSTRA, LLC</t>
  </si>
  <si>
    <t>SISTERS, INC</t>
  </si>
  <si>
    <t>CSBI LLC</t>
  </si>
  <si>
    <t>CAMARA DE MERCADEO, INDUSTRIA Y DISTRIBUCCION DE ALIMENTOS INC. (MIDA)</t>
  </si>
  <si>
    <t>D'GUSTO LLC</t>
  </si>
  <si>
    <t>CPBM RETAIL, LLC</t>
  </si>
  <si>
    <t>ENHORABUENA K &amp; A INC</t>
  </si>
  <si>
    <t>MO SMOKE &amp; CO INC</t>
  </si>
  <si>
    <t>EGS &amp; ASSOCIATES INC</t>
  </si>
  <si>
    <t>PHYSIOTHERAPY REHABILITATION SERVICES INC</t>
  </si>
  <si>
    <t>MYE CORP</t>
  </si>
  <si>
    <t>LUIS M FONTAN PAGAN H/N/C FONTAN TAX &amp; ACCOUNTING</t>
  </si>
  <si>
    <t>ANGELICA PEREZ MARQUEZ H/N/C ISSES MAKEUP &amp; HAIR STUDIO</t>
  </si>
  <si>
    <t>ENTRE PASTA Y HOJALDRE</t>
  </si>
  <si>
    <t>FRANKIE NIEVES GUZMAN H/N/C WAVES SEAFOOD RESTAURANT</t>
  </si>
  <si>
    <t>TORRES MARRERO LLC</t>
  </si>
  <si>
    <t>SOL JANELY RIVERA FERNANDEZ H/N/C SALONE SI BELLEZA</t>
  </si>
  <si>
    <t xml:space="preserve">PUERTO RICO FILM FESTIVAL CORP. </t>
  </si>
  <si>
    <t>Incentivo para el Desarrollo de las ArtesanÍas en PR</t>
  </si>
  <si>
    <t>Otros / AUSPICIO "AGROHACK CONFERENCE &amp; EXPO 2025"</t>
  </si>
  <si>
    <t>Otros / CAPITAL SEMILLA PARA PYMES EXISTENTES</t>
  </si>
  <si>
    <t>Otros / PROGRAMA CAPITAL SEMILLA PARA PYMES EXISTENTES</t>
  </si>
  <si>
    <t>Otros - PROGRAMA CAPITAL SEMILLA PARA PYMES EXISTENTES</t>
  </si>
  <si>
    <t>Otros - CONTRATO PROGRAMA CAPITAL SEMILLA PARA PYMES EXISTENTES</t>
  </si>
  <si>
    <t>Otros- PROGRAMA CAPITAL SEMILLA PARA PYMES EXISTENTES</t>
  </si>
  <si>
    <t>Empleos básico y localización</t>
  </si>
  <si>
    <t>ROI 147%</t>
  </si>
  <si>
    <t>Mayaguez</t>
  </si>
  <si>
    <t>ROI 645%</t>
  </si>
  <si>
    <t>ROI 24808</t>
  </si>
  <si>
    <t>ROI 1062%</t>
  </si>
  <si>
    <t>222%.  La Oficina de Finanzas canceló asignación por incumplimiento en base al 5-12-2025</t>
  </si>
  <si>
    <t>245%.  Oficina de Finanzas cenceló por incumplimiento en base anual 5-16-2025</t>
  </si>
  <si>
    <t>320%.  Oficina de Finanzas canceló por incumplimiento base anual al 5-30-2025</t>
  </si>
  <si>
    <t>839%.  Balance cancelado producto culminó 5-30-2025</t>
  </si>
  <si>
    <t>649%.  Finanzas canceló al 5-30-2025 producto culminó.</t>
  </si>
  <si>
    <t>wgonzalez@woodstudiopr.com</t>
  </si>
  <si>
    <t>FIE-2019-2002-IIP-0026</t>
  </si>
  <si>
    <t>2021-000309</t>
  </si>
  <si>
    <t>23892%.  Se canceló balance por instrucciones de Jamille Muriente 03-27-2024</t>
  </si>
  <si>
    <t>BECA TEODORO MOSCOSO</t>
  </si>
  <si>
    <t>2025-000525</t>
  </si>
  <si>
    <t>MARÍA F DOS SANTOS</t>
  </si>
  <si>
    <t>2021-000150-A</t>
  </si>
  <si>
    <t>2025-000477</t>
  </si>
  <si>
    <t>ARDUENGO, LLC</t>
  </si>
  <si>
    <t>Cortometraje El Chico Nuevo</t>
  </si>
  <si>
    <t>Otros / Auspicio al Lusca Campus octubre 2024</t>
  </si>
  <si>
    <t>2023-002390-A</t>
  </si>
  <si>
    <t>YMPIC HC CORP / OLYMPIC LAUNDRY</t>
  </si>
  <si>
    <t>Lavandería Comercial</t>
  </si>
  <si>
    <t>FIE60-2024-2025-0313</t>
  </si>
  <si>
    <t>FIE60-2024-2025-0226</t>
  </si>
  <si>
    <t>FIE60-2024-2025-0307</t>
  </si>
  <si>
    <t>FIE60-2024-2025-0306</t>
  </si>
  <si>
    <t>FIE60-2024-2025-0323</t>
  </si>
  <si>
    <t>FIE60-2024-2025-0257</t>
  </si>
  <si>
    <t>FIE60-2024-2025-0133</t>
  </si>
  <si>
    <t>FIE60-2024-2025-0230</t>
  </si>
  <si>
    <t>FIE60-2024-2025-0207</t>
  </si>
  <si>
    <t>FIE60-2024-2025-0360</t>
  </si>
  <si>
    <t>FIE60-2024-2025-0359</t>
  </si>
  <si>
    <t>FIE60-2024-2025-0358</t>
  </si>
  <si>
    <t>FIE60-2024-2025-0340</t>
  </si>
  <si>
    <t>2025-000764</t>
  </si>
  <si>
    <t>2025-000761</t>
  </si>
  <si>
    <t>2025-000767</t>
  </si>
  <si>
    <t>2025-000771</t>
  </si>
  <si>
    <t>2025-000769</t>
  </si>
  <si>
    <t>2025-000770</t>
  </si>
  <si>
    <t>2025-000777</t>
  </si>
  <si>
    <t>2025-000778</t>
  </si>
  <si>
    <t>2025-000779</t>
  </si>
  <si>
    <t>2025-000776</t>
  </si>
  <si>
    <t>2025-000775</t>
  </si>
  <si>
    <t>2025-000782</t>
  </si>
  <si>
    <t>2025-000783</t>
  </si>
  <si>
    <t>2025-000796</t>
  </si>
  <si>
    <t>2025-000798</t>
  </si>
  <si>
    <t>2025-000786</t>
  </si>
  <si>
    <t>2025-000795</t>
  </si>
  <si>
    <t>2025-000802</t>
  </si>
  <si>
    <t>2025-000799</t>
  </si>
  <si>
    <t>2025-000803</t>
  </si>
  <si>
    <t>2025-000800</t>
  </si>
  <si>
    <t>2025-000791</t>
  </si>
  <si>
    <t>2025-000788</t>
  </si>
  <si>
    <t>2025-000789</t>
  </si>
  <si>
    <t>2025-000794</t>
  </si>
  <si>
    <t>2025-000790</t>
  </si>
  <si>
    <t>2025-000787</t>
  </si>
  <si>
    <t>2025-000793</t>
  </si>
  <si>
    <t>2025-000801</t>
  </si>
  <si>
    <t>2025-000737</t>
  </si>
  <si>
    <t>2025-000395-A</t>
  </si>
  <si>
    <t>2025-000797</t>
  </si>
  <si>
    <t>2025-000792</t>
  </si>
  <si>
    <t>2025-000804</t>
  </si>
  <si>
    <t>2025-000809</t>
  </si>
  <si>
    <t>2025-000821</t>
  </si>
  <si>
    <t>2025-000822</t>
  </si>
  <si>
    <t>2025-000820</t>
  </si>
  <si>
    <t>2025-000815</t>
  </si>
  <si>
    <t>2025-000818</t>
  </si>
  <si>
    <t>2025-000824</t>
  </si>
  <si>
    <t>2025-000835</t>
  </si>
  <si>
    <t>HELADERIA COSTAS, INC</t>
  </si>
  <si>
    <t>TONY ALVAREZ RENTAL</t>
  </si>
  <si>
    <t>CENTRO MEDICO VETERINARIO GUAYNABO, INC</t>
  </si>
  <si>
    <t>BORINQUEN BISCUITS CORP</t>
  </si>
  <si>
    <t>OSMI ENTERPRISES, INC D/B/A SIGNS &amp; MEDIA</t>
  </si>
  <si>
    <t>AISHA FUEL CORP</t>
  </si>
  <si>
    <t>PM COMM LLC</t>
  </si>
  <si>
    <t>TRUCKARS, INC</t>
  </si>
  <si>
    <t>I&amp;M INVESTMENT GROUP, LLC</t>
  </si>
  <si>
    <t>AUTO SELECTION CORP</t>
  </si>
  <si>
    <t>T-SHIRT PRINT EXPRESS, INC</t>
  </si>
  <si>
    <t>HAIPRIORI, LLC</t>
  </si>
  <si>
    <t>HENRIQUEZ MOROS, LLC</t>
  </si>
  <si>
    <t>DELIA ROJAS FIGUEROA H/N/C PANADERIA LAS PIEDRAS</t>
  </si>
  <si>
    <t>CR EMERGENCY SERVICES CP</t>
  </si>
  <si>
    <t>SMARTECH, LLC</t>
  </si>
  <si>
    <t>BENJAMIN COLON H/N/C MECANICA JIMMY</t>
  </si>
  <si>
    <t>SHEILA OTERO RIVERA H/N/C MAXBILLING</t>
  </si>
  <si>
    <t>KELVIN MENDEZ H/N/C KMG AUTO SERVICES</t>
  </si>
  <si>
    <t>GEOSUR, LLC</t>
  </si>
  <si>
    <t>FLOR, LLC</t>
  </si>
  <si>
    <t>CARIBBEAN CRAFT FOOD, LLC</t>
  </si>
  <si>
    <t>CIDRA BODY PARTS &amp; JUNKER, INC</t>
  </si>
  <si>
    <t>EDGAR X RIVERA H/N/C FURRY PETS</t>
  </si>
  <si>
    <t>CD BRAVO, INC</t>
  </si>
  <si>
    <t>BTA GROUP, LLC</t>
  </si>
  <si>
    <t>ACC TAX AND ACCOUNTING, LLC</t>
  </si>
  <si>
    <t>LOYD SANABRIA HERNANDEZ H/N/C AVICOLA SANTA FE</t>
  </si>
  <si>
    <t>COLON AND RODRIGUEZ</t>
  </si>
  <si>
    <t>JAN L TORRES RIVERA</t>
  </si>
  <si>
    <t>DLP OPTIMUM SERVICES CORP</t>
  </si>
  <si>
    <t>E.T.H. CARGO SERVICES, INC</t>
  </si>
  <si>
    <t>MANAGEMENT TEMPORARY &amp; CONTRACT EMPLOYMENT SERVICES, INC</t>
  </si>
  <si>
    <t>Fajardo</t>
  </si>
  <si>
    <t>Salinas</t>
  </si>
  <si>
    <t>Jayuya</t>
  </si>
  <si>
    <t>Otros / Capital Semilla Pymes Existentes</t>
  </si>
  <si>
    <t>Otros - mercadeo para empresas locales pymes</t>
  </si>
  <si>
    <t>Otros -Capital Semilla para Pymes Existentes</t>
  </si>
  <si>
    <t>Otros - Capital Semilla para Pymes de Nueva Creación</t>
  </si>
  <si>
    <t>Otros - Capital Semilla para Pymes Existentes</t>
  </si>
  <si>
    <t>Otros - Casco Urbano Río Piedras</t>
  </si>
  <si>
    <t>Otros - Proyectos Estratégicos</t>
  </si>
  <si>
    <t>Otros / Aliados Estratégicos</t>
  </si>
  <si>
    <t>Beca Teodoro Moscoso</t>
  </si>
  <si>
    <t>Otros - Aliados Estratégicos</t>
  </si>
  <si>
    <t>Otros - Servicios Profesionales Promoexport</t>
  </si>
  <si>
    <t>318%.  Finanzas canceló el 6-16-2025.  Contrato culminó.</t>
  </si>
  <si>
    <t>90%.  Finanzas canceló el 6-2-2025.  Cierre de la empresa.</t>
  </si>
  <si>
    <t xml:space="preserve">90%.  Finanzas informa que tiene un balance por $375,000 para recobrar. Al 06-03-2025 </t>
  </si>
  <si>
    <t>1274%.  Finanzas canceló el 6-9-2025 por incumplimiento de base.</t>
  </si>
  <si>
    <t>207%.  Finanzas canceló el 6-09-2025 porque contrato venció</t>
  </si>
  <si>
    <t>2009%.  Finanzas canceló 6-9-2025 contrato venció.</t>
  </si>
  <si>
    <t>237%.  Finanzas canceló 6-9-2025 contrato vencido.</t>
  </si>
  <si>
    <t>518%.  Finanzas canceló el 6-9-2025 contrato vencido.</t>
  </si>
  <si>
    <t>116%.  Finanzas canceló el 6-9-2025.  Contrato venció.</t>
  </si>
  <si>
    <t>730%.  Finanzas canceló 6-9-2025.  Contrato venció.</t>
  </si>
  <si>
    <t>Programa de apoyo a empresarios minoritarios.  Finanzas solicita cancelar balance al 6-9-2025</t>
  </si>
  <si>
    <t>163%.  Finanzas canceló 6-9-2025.  Contrato vencido.</t>
  </si>
  <si>
    <t>463%.  Finanzas canceló 6-12-2025.  Contrato venció.</t>
  </si>
  <si>
    <t>Programa de apoyo a empresarios minoritarios.  Finanzas solicita cancelar balance al 6-12-2025</t>
  </si>
  <si>
    <t>FIE60-2024-2025-0084</t>
  </si>
  <si>
    <t>2025-000195</t>
  </si>
  <si>
    <t>Incentivo de Mercadeo/Ley 60-20219</t>
  </si>
  <si>
    <t>FIE60-2024-2025-0126</t>
  </si>
  <si>
    <t>2025-000280</t>
  </si>
  <si>
    <t>ECHAR PA LANTE</t>
  </si>
  <si>
    <t>Community-Building y el establecimiento de un programa de emprendimiento basado en tecnología en el eLAB de Río Piedras</t>
  </si>
  <si>
    <t>FY 2017 to June  2025</t>
  </si>
  <si>
    <t>FY 2017 to June 2025</t>
  </si>
  <si>
    <t>2025-000131-A</t>
  </si>
  <si>
    <t>FIE60-2024-2025-0067</t>
  </si>
  <si>
    <t>FIE60-2024-2025-0117</t>
  </si>
  <si>
    <t>FIE60-2024-2025-0163</t>
  </si>
  <si>
    <t>FIE60-2024-2025-0220</t>
  </si>
  <si>
    <t>FIE60-2024-2025-0336</t>
  </si>
  <si>
    <t>FIE60-2024-2025-0279</t>
  </si>
  <si>
    <t>FIE60-2024-2025-0302</t>
  </si>
  <si>
    <t>FIE60-2024-2025-0227</t>
  </si>
  <si>
    <t>FIE60-2024-2025-0304</t>
  </si>
  <si>
    <t>FIE60-2024-2025-0305</t>
  </si>
  <si>
    <t>FIE60-2024-2025-0269</t>
  </si>
  <si>
    <t>FIE60-2024-2025-0267</t>
  </si>
  <si>
    <t>FIE60-2024-2025-0268</t>
  </si>
  <si>
    <t>FIE60-2024-2025-0303</t>
  </si>
  <si>
    <t>FIE60-2024-2025-0312</t>
  </si>
  <si>
    <t>FIE60-2024-2025-0301</t>
  </si>
  <si>
    <t>FIE60-2024-2025-0030</t>
  </si>
  <si>
    <t>FIE60-2024-2025-0318</t>
  </si>
  <si>
    <t>FIE60-2024-2025-0314</t>
  </si>
  <si>
    <t>2025-000139-A</t>
  </si>
  <si>
    <t>2025-000143-A</t>
  </si>
  <si>
    <t>2025-000147</t>
  </si>
  <si>
    <t>2025-000168</t>
  </si>
  <si>
    <t>2025-000169</t>
  </si>
  <si>
    <t>2025-000194</t>
  </si>
  <si>
    <t>2025-000263</t>
  </si>
  <si>
    <t>2025-000307</t>
  </si>
  <si>
    <t>2025-000320</t>
  </si>
  <si>
    <t>2025-000341</t>
  </si>
  <si>
    <t>2025-000370</t>
  </si>
  <si>
    <t>2025-000394</t>
  </si>
  <si>
    <t>2025-000422</t>
  </si>
  <si>
    <t>2025-000424-A</t>
  </si>
  <si>
    <t>2025-000480</t>
  </si>
  <si>
    <t>2025-000484</t>
  </si>
  <si>
    <t>2025-000493</t>
  </si>
  <si>
    <t>2025-000501</t>
  </si>
  <si>
    <t>2025-000517</t>
  </si>
  <si>
    <t>2025-000518</t>
  </si>
  <si>
    <t>2025-000519</t>
  </si>
  <si>
    <t>2025-000520</t>
  </si>
  <si>
    <t>2025-000521</t>
  </si>
  <si>
    <t>2025-000522</t>
  </si>
  <si>
    <t>2025-000526</t>
  </si>
  <si>
    <t>2025-000527</t>
  </si>
  <si>
    <t>2025-000531</t>
  </si>
  <si>
    <t>2025-000536</t>
  </si>
  <si>
    <t>2025-000543</t>
  </si>
  <si>
    <t>2025-000546</t>
  </si>
  <si>
    <t>2025-000548</t>
  </si>
  <si>
    <t>2025-000551</t>
  </si>
  <si>
    <t>2025-000563</t>
  </si>
  <si>
    <t>2025-000574</t>
  </si>
  <si>
    <t>2025-000661</t>
  </si>
  <si>
    <t>2025-000668</t>
  </si>
  <si>
    <t>2025-000676</t>
  </si>
  <si>
    <t>2025-000693</t>
  </si>
  <si>
    <t>2025-000699</t>
  </si>
  <si>
    <t>2025-000705</t>
  </si>
  <si>
    <t>2025-000712</t>
  </si>
  <si>
    <t>2025-000714</t>
  </si>
  <si>
    <t>2025-000731</t>
  </si>
  <si>
    <t>2025-000735</t>
  </si>
  <si>
    <t>2025-000736</t>
  </si>
  <si>
    <t>2025-000738</t>
  </si>
  <si>
    <t>2025-000739</t>
  </si>
  <si>
    <t>2025-000740</t>
  </si>
  <si>
    <t>2025-000741</t>
  </si>
  <si>
    <t>2025-000742</t>
  </si>
  <si>
    <t>2025-000743</t>
  </si>
  <si>
    <t>2025-000744</t>
  </si>
  <si>
    <t>2025-000745</t>
  </si>
  <si>
    <t>2025-000746</t>
  </si>
  <si>
    <t>2025-000747</t>
  </si>
  <si>
    <t>2025-000748</t>
  </si>
  <si>
    <t>2025-000750</t>
  </si>
  <si>
    <t>2025-000753</t>
  </si>
  <si>
    <t>2025-000754</t>
  </si>
  <si>
    <t>2025-000755</t>
  </si>
  <si>
    <t>2025-000763</t>
  </si>
  <si>
    <t>BULE-BAR</t>
  </si>
  <si>
    <t>XIALERYS ORTIZ COLON</t>
  </si>
  <si>
    <t>MQC GROUP LLC</t>
  </si>
  <si>
    <t>SUN INVESTMENT COMPANY INC H/N/C HOTEL SAN JORGE</t>
  </si>
  <si>
    <t>PROJECT MAKERS, LLC</t>
  </si>
  <si>
    <t>HACIENDA VILLA SOTOMAYOR</t>
  </si>
  <si>
    <t>GILDA I PROENZA FLECHA</t>
  </si>
  <si>
    <t>OSCAR FELICIANO GUADALUPE</t>
  </si>
  <si>
    <t>LUIS A BARRETO MARTINEZ</t>
  </si>
  <si>
    <t>LTG BUSINESS ALLY LLC</t>
  </si>
  <si>
    <t>CANO HANDYMAN SERVICES LLC</t>
  </si>
  <si>
    <t>DAIRENE J. MORALES ROSARIO</t>
  </si>
  <si>
    <t>XIOMARA ROMERO LOPEZ</t>
  </si>
  <si>
    <t>HECTOR F CANCEL ORTIZ</t>
  </si>
  <si>
    <t>MARIBEL RUIZ TORRES</t>
  </si>
  <si>
    <t>MARIBEL MALDONADO CATALA</t>
  </si>
  <si>
    <t>SHEILA R BALLESTE TORRES</t>
  </si>
  <si>
    <t>JUAN RIOS NEGRON</t>
  </si>
  <si>
    <t>BRIGHT CLIENTS COMMUNICATIONS, INC</t>
  </si>
  <si>
    <t>LORNA L GOMEZ ROSA</t>
  </si>
  <si>
    <t>ASOCIACION DE INDUSTRIALES DE PUERTO RICO</t>
  </si>
  <si>
    <t>MELISSA VIANA CUADRADO H/N/C LEARNING WITH MS. VIANA</t>
  </si>
  <si>
    <t>YANIRA APONTE GOMEZ H/N/C RESTAURANTE EL MEXICANO</t>
  </si>
  <si>
    <t>ANA MARTINEZ COLON</t>
  </si>
  <si>
    <t>PRINTFINITY, LLC</t>
  </si>
  <si>
    <t>INTEGRA CI, INC.</t>
  </si>
  <si>
    <t>CARIBBEAN REFRESCOS, INC</t>
  </si>
  <si>
    <t>ARNALDO FIGUEROA RODRIGUEZ</t>
  </si>
  <si>
    <t>TACOXPRESS CAGUAS CORP</t>
  </si>
  <si>
    <t>JUAN C DAVILA RODRIGUEZ</t>
  </si>
  <si>
    <t>EL CENTRO DEL CRUERO INC</t>
  </si>
  <si>
    <t>Pymes Innovadoras</t>
  </si>
  <si>
    <t>Otros-Programa de Desarrollo de la Juventud</t>
  </si>
  <si>
    <t>Otros- Servicios profesionales</t>
  </si>
  <si>
    <t>TALLER RENGLÓN DE CERÁMICA BÁSICO</t>
  </si>
  <si>
    <t>PROGRAMA DE APRENDIZAJE DE ARTES TRADICIONALES</t>
  </si>
  <si>
    <t>ROI 473%</t>
  </si>
  <si>
    <t>ELABORACIÓN DE PRODUCTOS DE REPOSTERÍA</t>
  </si>
  <si>
    <t>ROI 1600%</t>
  </si>
  <si>
    <t>MANUFACTURA DE BEBIDAS Y JUGOS NATURALES</t>
  </si>
  <si>
    <t>AUSPICIO</t>
  </si>
  <si>
    <t>CONTRATO ARTESANÍAS</t>
  </si>
  <si>
    <t>CAPITAL SEMILLA</t>
  </si>
  <si>
    <t>ROI 2468%</t>
  </si>
  <si>
    <t>Elaboración de Ron Artesanal</t>
  </si>
  <si>
    <t>PROGRAMA CAPITAL SEMILLA PARA PYMES EXISTENTES</t>
  </si>
  <si>
    <t>PROGRAMA PYMES INNOVADORAS</t>
  </si>
  <si>
    <t>PROGRAMA DE INCENTIVO AL ARTESANO</t>
  </si>
  <si>
    <t>ACTIVIDADES DE MERCADEO LOCAL Y AL EXTERIOR PARA EMPRESAS LOCALES (PYMES)</t>
  </si>
  <si>
    <t>MANUFACTURA Y ENSAMBLAJE DE MÁQUINAS DE EMPAQUE Y PROCESOS</t>
  </si>
  <si>
    <t>CONTRATO DE AUSPICIO</t>
  </si>
  <si>
    <t>LENTES OFTÁLMICOS</t>
  </si>
  <si>
    <t>ROI 79%</t>
  </si>
  <si>
    <t>SOFRITOS</t>
  </si>
  <si>
    <t>GALLETAS DE SODA,GALLETAS DULCES Y OTRAS</t>
  </si>
  <si>
    <t>ROI 1473%</t>
  </si>
  <si>
    <t>Manufactura de rótulos y productos promocionales</t>
  </si>
  <si>
    <t>MANUFACTURA DE COLAGENO(MEDIANTE PROCESO DE LIOFILIACION)</t>
  </si>
  <si>
    <t>ROI 695%</t>
  </si>
  <si>
    <t>ROI 22054%</t>
  </si>
  <si>
    <t>CONCENTRADO Y BASE DE BEBIDAS</t>
  </si>
  <si>
    <t>ROI 270%</t>
  </si>
  <si>
    <t>Manufactura de vestimenta de protección, uniformes y accesorios</t>
  </si>
  <si>
    <t>GUÁNICA</t>
  </si>
  <si>
    <t>ORNAMENTACIÓN</t>
  </si>
  <si>
    <t>ROI 2627%</t>
  </si>
  <si>
    <t>INCENTIVO MERCADEO</t>
  </si>
  <si>
    <t>ROI 5742%</t>
  </si>
  <si>
    <t>Otros / PROGRAMA CAPITAL SEMILLA PARA PYMES NUEVA CREACION</t>
  </si>
  <si>
    <t>JOSE L GONZALEZ ORTIZ H/N/C TOÑITAS CAFE</t>
  </si>
  <si>
    <t>Otros / Proyectos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</si>
</sst>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sz val="10"/>
      <color rgb="FF21252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B696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64" fontId="0" fillId="0" borderId="0" xfId="1" applyNumberFormat="1" applyFont="1"/>
    <xf numFmtId="14" fontId="0" fillId="0" borderId="1" xfId="0" applyNumberFormat="1" applyBorder="1" applyAlignment="1">
      <alignment horizontal="center"/>
    </xf>
    <xf numFmtId="44" fontId="2" fillId="2" borderId="2" xfId="2" applyFont="1" applyFill="1" applyBorder="1" applyAlignment="1">
      <alignment horizontal="center" vertical="center"/>
    </xf>
    <xf numFmtId="14" fontId="2" fillId="2" borderId="2" xfId="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44" fontId="0" fillId="0" borderId="1" xfId="2" applyFont="1" applyBorder="1" applyAlignment="1"/>
    <xf numFmtId="47" fontId="0" fillId="0" borderId="1" xfId="0" applyNumberFormat="1" applyBorder="1"/>
    <xf numFmtId="0" fontId="0" fillId="3" borderId="0" xfId="0" applyFill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0" fontId="0" fillId="0" borderId="0" xfId="0" pivotButton="1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0" fillId="0" borderId="0" xfId="0" pivotButton="1" applyAlignment="1">
      <alignment vertical="center"/>
    </xf>
    <xf numFmtId="165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5" fontId="6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44" fontId="11" fillId="6" borderId="4" xfId="2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9" fontId="8" fillId="0" borderId="4" xfId="3" applyFont="1" applyFill="1" applyBorder="1" applyAlignment="1">
      <alignment horizontal="left" vertical="center" wrapText="1"/>
    </xf>
    <xf numFmtId="44" fontId="8" fillId="0" borderId="4" xfId="2" applyFont="1" applyFill="1" applyBorder="1" applyAlignment="1">
      <alignment horizontal="left" vertical="center" wrapText="1"/>
    </xf>
    <xf numFmtId="9" fontId="8" fillId="0" borderId="4" xfId="2" applyNumberFormat="1" applyFont="1" applyFill="1" applyBorder="1" applyAlignment="1">
      <alignment horizontal="left" vertical="center" wrapText="1"/>
    </xf>
    <xf numFmtId="9" fontId="8" fillId="0" borderId="4" xfId="1" applyNumberFormat="1" applyFont="1" applyFill="1" applyBorder="1" applyAlignment="1">
      <alignment horizontal="left" vertical="center" wrapText="1"/>
    </xf>
    <xf numFmtId="8" fontId="8" fillId="0" borderId="4" xfId="2" applyNumberFormat="1" applyFont="1" applyFill="1" applyBorder="1" applyAlignment="1">
      <alignment horizontal="right" vertical="center"/>
    </xf>
    <xf numFmtId="8" fontId="7" fillId="0" borderId="4" xfId="2" applyNumberFormat="1" applyFont="1" applyFill="1" applyBorder="1" applyAlignment="1">
      <alignment horizontal="right" vertical="center"/>
    </xf>
    <xf numFmtId="8" fontId="7" fillId="0" borderId="0" xfId="2" applyNumberFormat="1" applyFont="1" applyFill="1" applyBorder="1" applyAlignment="1">
      <alignment horizontal="right" vertical="center"/>
    </xf>
    <xf numFmtId="8" fontId="8" fillId="0" borderId="0" xfId="2" applyNumberFormat="1" applyFont="1" applyFill="1" applyAlignment="1">
      <alignment horizontal="right" vertical="center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167" fontId="8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9" fontId="8" fillId="0" borderId="4" xfId="0" applyNumberFormat="1" applyFont="1" applyBorder="1" applyAlignment="1">
      <alignment horizontal="left" vertical="center" wrapText="1"/>
    </xf>
    <xf numFmtId="8" fontId="7" fillId="0" borderId="4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horizontal="center" vertical="center" wrapText="1" readingOrder="1"/>
    </xf>
    <xf numFmtId="8" fontId="7" fillId="0" borderId="4" xfId="0" applyNumberFormat="1" applyFont="1" applyBorder="1" applyAlignment="1">
      <alignment horizontal="right" vertical="center" wrapText="1" readingOrder="1"/>
    </xf>
    <xf numFmtId="0" fontId="7" fillId="0" borderId="5" xfId="0" applyFont="1" applyBorder="1"/>
    <xf numFmtId="8" fontId="8" fillId="0" borderId="4" xfId="0" applyNumberFormat="1" applyFont="1" applyBorder="1" applyAlignment="1">
      <alignment horizontal="right" vertical="center"/>
    </xf>
    <xf numFmtId="167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8" xfId="0" applyNumberFormat="1" applyFont="1" applyBorder="1" applyAlignment="1">
      <alignment horizontal="left" vertical="center" wrapText="1"/>
    </xf>
    <xf numFmtId="9" fontId="8" fillId="0" borderId="6" xfId="0" applyNumberFormat="1" applyFont="1" applyBorder="1" applyAlignment="1">
      <alignment horizontal="left" vertical="center" wrapText="1"/>
    </xf>
    <xf numFmtId="0" fontId="14" fillId="0" borderId="0" xfId="0" applyFont="1"/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4" fontId="11" fillId="6" borderId="4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8" fontId="8" fillId="0" borderId="0" xfId="0" applyNumberFormat="1" applyFont="1"/>
    <xf numFmtId="0" fontId="12" fillId="0" borderId="4" xfId="0" applyFont="1" applyBorder="1" applyAlignment="1">
      <alignment horizontal="left" vertical="center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/>
    <xf numFmtId="167" fontId="7" fillId="0" borderId="0" xfId="0" applyNumberFormat="1" applyFont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8" fontId="14" fillId="0" borderId="4" xfId="2" applyNumberFormat="1" applyFont="1" applyFill="1" applyBorder="1" applyAlignment="1">
      <alignment horizontal="right" vertical="center"/>
    </xf>
    <xf numFmtId="9" fontId="14" fillId="0" borderId="4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wrapText="1"/>
    </xf>
    <xf numFmtId="8" fontId="17" fillId="0" borderId="4" xfId="0" applyNumberFormat="1" applyFont="1" applyBorder="1" applyAlignment="1">
      <alignment wrapText="1"/>
    </xf>
    <xf numFmtId="8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Border="1"/>
    <xf numFmtId="0" fontId="18" fillId="0" borderId="0" xfId="0" applyFont="1" applyAlignment="1">
      <alignment wrapText="1"/>
    </xf>
    <xf numFmtId="0" fontId="0" fillId="0" borderId="0" xfId="0" applyAlignment="1">
      <alignment horizontal="left" indent="2"/>
    </xf>
    <xf numFmtId="0" fontId="19" fillId="0" borderId="4" xfId="0" applyFont="1" applyBorder="1" applyAlignment="1">
      <alignment wrapText="1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left" indent="3"/>
    </xf>
    <xf numFmtId="8" fontId="20" fillId="0" borderId="4" xfId="2" applyNumberFormat="1" applyFont="1" applyFill="1" applyBorder="1" applyAlignment="1">
      <alignment horizontal="right" vertical="center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8" fontId="0" fillId="0" borderId="4" xfId="0" applyNumberFormat="1" applyBorder="1" applyAlignment="1">
      <alignment wrapText="1"/>
    </xf>
    <xf numFmtId="8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14" fontId="17" fillId="0" borderId="4" xfId="0" applyNumberFormat="1" applyFont="1" applyBorder="1" applyAlignment="1">
      <alignment wrapText="1"/>
    </xf>
    <xf numFmtId="0" fontId="17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14" fontId="0" fillId="0" borderId="4" xfId="0" applyNumberFormat="1" applyBorder="1"/>
    <xf numFmtId="4" fontId="0" fillId="0" borderId="4" xfId="0" applyNumberFormat="1" applyBorder="1" applyAlignment="1">
      <alignment wrapText="1"/>
    </xf>
    <xf numFmtId="9" fontId="22" fillId="0" borderId="4" xfId="3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 wrapText="1"/>
    </xf>
    <xf numFmtId="14" fontId="7" fillId="0" borderId="4" xfId="0" applyNumberFormat="1" applyFont="1" applyBorder="1"/>
    <xf numFmtId="0" fontId="19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167" fontId="8" fillId="0" borderId="4" xfId="0" applyNumberFormat="1" applyFont="1" applyBorder="1" applyAlignment="1">
      <alignment vertical="center"/>
    </xf>
    <xf numFmtId="44" fontId="11" fillId="6" borderId="4" xfId="2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14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right" wrapText="1"/>
    </xf>
    <xf numFmtId="166" fontId="6" fillId="4" borderId="0" xfId="0" applyNumberFormat="1" applyFont="1" applyFill="1"/>
    <xf numFmtId="0" fontId="0" fillId="7" borderId="4" xfId="0" applyFill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wrapText="1"/>
    </xf>
    <xf numFmtId="14" fontId="23" fillId="0" borderId="4" xfId="0" applyNumberFormat="1" applyFont="1" applyBorder="1" applyAlignment="1">
      <alignment wrapText="1"/>
    </xf>
    <xf numFmtId="9" fontId="23" fillId="0" borderId="4" xfId="0" applyNumberFormat="1" applyFont="1" applyBorder="1" applyAlignment="1">
      <alignment wrapText="1"/>
    </xf>
    <xf numFmtId="8" fontId="23" fillId="0" borderId="4" xfId="0" applyNumberFormat="1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167" fontId="8" fillId="0" borderId="4" xfId="0" applyNumberFormat="1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6" fillId="0" borderId="4" xfId="0" applyFont="1" applyBorder="1" applyAlignment="1">
      <alignment wrapText="1"/>
    </xf>
    <xf numFmtId="0" fontId="26" fillId="0" borderId="4" xfId="0" applyFont="1" applyBorder="1" applyAlignment="1">
      <alignment horizontal="right" wrapText="1"/>
    </xf>
    <xf numFmtId="0" fontId="23" fillId="0" borderId="4" xfId="0" applyFont="1" applyBorder="1" applyAlignment="1">
      <alignment horizontal="right" wrapText="1"/>
    </xf>
    <xf numFmtId="14" fontId="26" fillId="0" borderId="4" xfId="0" applyNumberFormat="1" applyFont="1" applyBorder="1" applyAlignment="1">
      <alignment wrapText="1"/>
    </xf>
    <xf numFmtId="14" fontId="0" fillId="0" borderId="4" xfId="0" applyNumberFormat="1" applyBorder="1" applyAlignment="1">
      <alignment horizontal="right"/>
    </xf>
    <xf numFmtId="8" fontId="0" fillId="0" borderId="4" xfId="0" applyNumberFormat="1" applyBorder="1"/>
    <xf numFmtId="0" fontId="27" fillId="0" borderId="0" xfId="0" applyFont="1"/>
    <xf numFmtId="0" fontId="27" fillId="0" borderId="0" xfId="0" applyFont="1" applyAlignment="1">
      <alignment wrapText="1"/>
    </xf>
    <xf numFmtId="0" fontId="18" fillId="0" borderId="0" xfId="0" applyFont="1"/>
    <xf numFmtId="0" fontId="28" fillId="0" borderId="0" xfId="0" applyFont="1"/>
    <xf numFmtId="0" fontId="28" fillId="0" borderId="0" xfId="0" applyFont="1" applyAlignment="1">
      <alignment wrapText="1"/>
    </xf>
    <xf numFmtId="0" fontId="7" fillId="0" borderId="4" xfId="0" applyFont="1" applyBorder="1"/>
    <xf numFmtId="8" fontId="20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17">
    <dxf>
      <numFmt numFmtId="165" formatCode="&quot;$&quot;#,##0"/>
    </dxf>
    <dxf>
      <numFmt numFmtId="165" formatCode="&quot;$&quot;#,##0"/>
    </dxf>
    <dxf>
      <alignment vertical="center"/>
    </dxf>
    <dxf>
      <alignment vertical="center"/>
    </dxf>
    <dxf>
      <alignment horizontal="center"/>
    </dxf>
    <dxf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alignment wrapText="1"/>
    </dxf>
    <dxf>
      <fill>
        <patternFill patternType="none">
          <bgColor auto="1"/>
        </patternFill>
      </fill>
    </dxf>
    <dxf>
      <font>
        <color theme="0"/>
      </font>
      <numFmt numFmtId="165" formatCode="&quot;$&quot;#,##0"/>
      <fill>
        <patternFill patternType="solid">
          <fgColor indexed="64"/>
          <bgColor theme="9" tint="-0.249977111117893"/>
        </patternFill>
      </fill>
      <alignment horizontal="center" vertical="center" wrapText="1"/>
    </dxf>
    <dxf>
      <numFmt numFmtId="165" formatCode="&quot;$&quot;#,##0"/>
    </dxf>
    <dxf>
      <numFmt numFmtId="165" formatCode="&quot;$&quot;#,##0"/>
    </dxf>
    <dxf>
      <numFmt numFmtId="166" formatCode="&quot;$&quot;#,##0.00"/>
    </dxf>
    <dxf>
      <numFmt numFmtId="165" formatCode="&quot;$&quot;#,##0"/>
    </dxf>
    <dxf>
      <numFmt numFmtId="165" formatCode="&quot;$&quot;#,##0"/>
    </dxf>
    <dxf>
      <alignment vertical="center"/>
    </dxf>
    <dxf>
      <alignment vertical="center"/>
    </dxf>
    <dxf>
      <alignment horizontal="center"/>
    </dxf>
    <dxf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alignment wrapText="1"/>
    </dxf>
    <dxf>
      <fill>
        <patternFill patternType="none">
          <bgColor auto="1"/>
        </patternFill>
      </fill>
    </dxf>
    <dxf>
      <font>
        <color theme="0"/>
      </font>
      <numFmt numFmtId="165" formatCode="&quot;$&quot;#,##0"/>
      <fill>
        <patternFill patternType="solid">
          <fgColor indexed="64"/>
          <bgColor theme="9" tint="-0.249977111117893"/>
        </patternFill>
      </fill>
      <alignment horizontal="center" vertical="center" wrapText="1"/>
    </dxf>
    <dxf>
      <numFmt numFmtId="165" formatCode="&quot;$&quot;#,##0"/>
    </dxf>
    <dxf>
      <numFmt numFmtId="165" formatCode="&quot;$&quot;#,##0"/>
    </dxf>
    <dxf>
      <numFmt numFmtId="166" formatCode="&quot;$&quot;#,##0.00"/>
    </dxf>
    <dxf>
      <font>
        <color rgb="FF9C0006"/>
      </font>
      <fill>
        <patternFill>
          <bgColor rgb="FFFFC7CE"/>
        </patternFill>
      </fill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border outline="0">
        <top style="thin">
          <color theme="4"/>
        </top>
      </border>
    </dxf>
    <dxf>
      <border outline="0">
        <top style="thin">
          <color rgb="FF000000"/>
        </top>
      </border>
    </dxf>
    <dxf>
      <alignment textRotation="0" wrapText="0" indent="0" justifyLastLine="0" shrinkToFit="0" readingOrder="0"/>
    </dxf>
    <dxf>
      <border outline="0">
        <bottom style="thin">
          <color indexed="64"/>
        </bottom>
      </border>
    </dxf>
    <dxf>
      <alignment textRotation="0" wrapText="0" indent="0" justifyLastLine="0" shrinkToFit="0" readingOrder="0"/>
    </dxf>
    <dxf>
      <numFmt numFmtId="166" formatCode="&quot;$&quot;#,##0.00"/>
    </dxf>
    <dxf>
      <numFmt numFmtId="165" formatCode="&quot;$&quot;#,##0"/>
    </dxf>
    <dxf>
      <numFmt numFmtId="165" formatCode="&quot;$&quot;#,##0"/>
    </dxf>
    <dxf>
      <font>
        <color theme="0"/>
      </font>
      <numFmt numFmtId="165" formatCode="&quot;$&quot;#,##0"/>
      <fill>
        <patternFill patternType="solid">
          <fgColor indexed="64"/>
          <bgColor theme="9" tint="-0.249977111117893"/>
        </patternFill>
      </fill>
      <alignment horizontal="center" vertical="center" wrapText="1"/>
    </dxf>
    <dxf>
      <fill>
        <patternFill patternType="none">
          <bgColor auto="1"/>
        </patternFill>
      </fill>
    </dxf>
    <dxf>
      <alignment wrapText="1"/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alignment horizontal="left"/>
    </dxf>
    <dxf>
      <alignment horizontal="center"/>
    </dxf>
    <dxf>
      <alignment vertical="center"/>
    </dxf>
    <dxf>
      <alignment vertical="center"/>
    </dxf>
    <dxf>
      <numFmt numFmtId="165" formatCode="&quot;$&quot;#,##0"/>
    </dxf>
    <dxf>
      <numFmt numFmtId="165" formatCode="&quot;$&quot;#,##0"/>
    </dxf>
    <dxf>
      <numFmt numFmtId="164" formatCode="_(* #,##0_);_(* \(#,##0\);_(* &quot;-&quot;??_);_(@_)"/>
      <alignment horizontal="center"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168" formatCode="_(* #,##0.0_);_(* \(#,##0.0\);_(* &quot;-&quot;??_);_(@_)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alignment vertical="center" readingOrder="0"/>
    </dxf>
    <dxf>
      <alignment vertic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wrapText="1" readingOrder="0"/>
    </dxf>
    <dxf>
      <alignment wrapText="1" readingOrder="0"/>
    </dxf>
    <dxf>
      <alignment horizontal="center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</dxfs>
  <tableStyles count="0" defaultTableStyle="TableStyleMedium2" defaultPivotStyle="PivotStyleLight16"/>
  <colors>
    <mruColors>
      <color rgb="FFFF0000"/>
      <color rgb="FFFF9966"/>
      <color rgb="FF9900FF"/>
      <color rgb="FFCC99FF"/>
      <color rgb="FFFF0066"/>
      <color rgb="FFFF6699"/>
      <color rgb="FF6B696B"/>
      <color rgb="FF00FFFF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57149</xdr:rowOff>
    </xdr:from>
    <xdr:to>
      <xdr:col>2</xdr:col>
      <xdr:colOff>1181100</xdr:colOff>
      <xdr:row>5</xdr:row>
      <xdr:rowOff>57149</xdr:rowOff>
    </xdr:to>
    <xdr:pic>
      <xdr:nvPicPr>
        <xdr:cNvPr id="2" name="Picture 1" descr="A picture containing knife, tabl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945"/>
        <a:stretch/>
      </xdr:blipFill>
      <xdr:spPr bwMode="auto">
        <a:xfrm>
          <a:off x="1409700" y="247649"/>
          <a:ext cx="99060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114301</xdr:rowOff>
    </xdr:from>
    <xdr:to>
      <xdr:col>3</xdr:col>
      <xdr:colOff>76200</xdr:colOff>
      <xdr:row>4</xdr:row>
      <xdr:rowOff>28576</xdr:rowOff>
    </xdr:to>
    <xdr:pic>
      <xdr:nvPicPr>
        <xdr:cNvPr id="2" name="Picture 1" descr="A picture containing knife, tabl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945"/>
        <a:stretch/>
      </xdr:blipFill>
      <xdr:spPr bwMode="auto">
        <a:xfrm>
          <a:off x="619125" y="114301"/>
          <a:ext cx="885825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107950</xdr:rowOff>
    </xdr:from>
    <xdr:to>
      <xdr:col>2</xdr:col>
      <xdr:colOff>469901</xdr:colOff>
      <xdr:row>2</xdr:row>
      <xdr:rowOff>173402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E9DE98-6040-4B09-BB26-B3CAA514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1" y="107950"/>
          <a:ext cx="1238250" cy="433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242307</xdr:colOff>
      <xdr:row>0</xdr:row>
      <xdr:rowOff>101600</xdr:rowOff>
    </xdr:from>
    <xdr:to>
      <xdr:col>1</xdr:col>
      <xdr:colOff>736600</xdr:colOff>
      <xdr:row>2</xdr:row>
      <xdr:rowOff>208962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31192-3853-701E-9C6D-78F04455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07" y="101600"/>
          <a:ext cx="1357893" cy="475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295348</xdr:colOff>
      <xdr:row>0</xdr:row>
      <xdr:rowOff>29535</xdr:rowOff>
    </xdr:from>
    <xdr:to>
      <xdr:col>3</xdr:col>
      <xdr:colOff>88721</xdr:colOff>
      <xdr:row>3</xdr:row>
      <xdr:rowOff>155058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20B862-BBA6-4A4B-BC74-FFBD3CB9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39" y="29535"/>
          <a:ext cx="2381884" cy="83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raya Morón Vélez" refreshedDate="44141.732501736115" createdVersion="6" refreshedVersion="6" minRefreshableVersion="3" recordCount="1255" xr:uid="{00000000-000A-0000-FFFF-FFFF00000000}">
  <cacheSource type="worksheet">
    <worksheetSource name="Table32[[Incentive '#]:[Repayment Years with Opportunity Cost]]"/>
  </cacheSource>
  <cacheFields count="23">
    <cacheField name="Incentive #" numFmtId="0">
      <sharedItems/>
    </cacheField>
    <cacheField name="Contract #" numFmtId="0">
      <sharedItems/>
    </cacheField>
    <cacheField name="Approval Date" numFmtId="14">
      <sharedItems containsSemiMixedTypes="0" containsNonDate="0" containsDate="1" containsString="0" minDate="2016-07-11T00:00:00" maxDate="2020-10-14T00:00:00" count="191">
        <d v="2016-09-15T00:00:00"/>
        <d v="2017-06-08T00:00:00"/>
        <d v="2018-07-25T00:00:00"/>
        <d v="2016-12-08T00:00:00"/>
        <d v="2019-07-15T00:00:00"/>
        <d v="2017-12-13T00:00:00"/>
        <d v="2016-07-20T00:00:00"/>
        <d v="2019-07-29T00:00:00"/>
        <d v="2018-05-30T00:00:00"/>
        <d v="2016-10-04T00:00:00"/>
        <d v="2016-12-06T00:00:00"/>
        <d v="2018-05-29T00:00:00"/>
        <d v="2019-03-20T00:00:00"/>
        <d v="2019-03-21T00:00:00"/>
        <d v="2019-11-01T00:00:00"/>
        <d v="2019-12-17T00:00:00"/>
        <d v="2020-08-06T00:00:00"/>
        <d v="2020-09-16T00:00:00"/>
        <d v="2018-06-09T00:00:00"/>
        <d v="2018-09-06T00:00:00"/>
        <d v="2017-09-14T00:00:00"/>
        <d v="2019-09-27T00:00:00"/>
        <d v="2018-10-31T00:00:00"/>
        <d v="2019-02-13T00:00:00"/>
        <d v="2017-06-29T00:00:00"/>
        <d v="2020-07-13T00:00:00"/>
        <d v="2018-09-28T00:00:00"/>
        <d v="2018-11-06T00:00:00"/>
        <d v="2019-10-11T00:00:00"/>
        <d v="2020-01-16T00:00:00"/>
        <d v="2017-12-28T00:00:00"/>
        <d v="2020-10-05T00:00:00"/>
        <d v="2019-01-08T00:00:00"/>
        <d v="2018-02-28T00:00:00"/>
        <d v="2019-02-21T00:00:00"/>
        <d v="2017-11-29T00:00:00"/>
        <d v="2018-06-12T00:00:00"/>
        <d v="2017-09-18T00:00:00"/>
        <d v="2018-11-20T00:00:00"/>
        <d v="2020-08-04T00:00:00"/>
        <d v="2019-12-02T00:00:00"/>
        <d v="2018-08-20T00:00:00"/>
        <d v="2017-12-12T00:00:00"/>
        <d v="2019-11-07T00:00:00"/>
        <d v="2016-08-17T00:00:00"/>
        <d v="2017-12-04T00:00:00"/>
        <d v="2019-09-09T00:00:00"/>
        <d v="2020-06-28T00:00:00"/>
        <d v="2018-07-06T00:00:00"/>
        <d v="2019-11-05T00:00:00"/>
        <d v="2020-03-13T00:00:00"/>
        <d v="2018-07-12T00:00:00"/>
        <d v="2018-05-09T00:00:00"/>
        <d v="2016-10-20T00:00:00"/>
        <d v="2019-11-08T00:00:00"/>
        <d v="2017-03-29T00:00:00"/>
        <d v="2018-08-09T00:00:00"/>
        <d v="2016-07-11T00:00:00"/>
        <d v="2019-06-20T00:00:00"/>
        <d v="2017-07-28T00:00:00"/>
        <d v="2017-10-31T00:00:00"/>
        <d v="2017-11-28T00:00:00"/>
        <d v="2020-09-09T00:00:00"/>
        <d v="2017-12-21T00:00:00"/>
        <d v="2018-01-25T00:00:00"/>
        <d v="2019-09-25T00:00:00"/>
        <d v="2020-07-14T00:00:00"/>
        <d v="2019-12-19T00:00:00"/>
        <d v="2019-01-31T00:00:00"/>
        <d v="2019-02-05T00:00:00"/>
        <d v="2019-05-10T00:00:00"/>
        <d v="2019-10-02T00:00:00"/>
        <d v="2020-06-11T00:00:00"/>
        <d v="2020-10-13T00:00:00"/>
        <d v="2018-05-31T00:00:00"/>
        <d v="2017-11-07T00:00:00"/>
        <d v="2019-02-28T00:00:00"/>
        <d v="2017-07-27T00:00:00"/>
        <d v="2019-09-16T00:00:00"/>
        <d v="2017-05-16T00:00:00"/>
        <d v="2017-06-26T00:00:00"/>
        <d v="2018-07-20T00:00:00"/>
        <d v="2018-12-03T00:00:00"/>
        <d v="2017-11-01T00:00:00"/>
        <d v="2017-12-05T00:00:00"/>
        <d v="2019-06-28T00:00:00"/>
        <d v="2020-01-21T00:00:00"/>
        <d v="2020-01-13T00:00:00"/>
        <d v="2016-12-12T00:00:00"/>
        <d v="2017-06-23T00:00:00"/>
        <d v="2018-11-28T00:00:00"/>
        <d v="2019-05-21T00:00:00"/>
        <d v="2020-02-18T00:00:00"/>
        <d v="2020-09-28T00:00:00"/>
        <d v="2017-12-19T00:00:00"/>
        <d v="2016-12-23T00:00:00"/>
        <d v="2019-10-29T00:00:00"/>
        <d v="2019-08-09T00:00:00"/>
        <d v="2016-09-26T00:00:00"/>
        <d v="2019-07-19T00:00:00"/>
        <d v="2019-11-06T00:00:00"/>
        <d v="2018-11-29T00:00:00"/>
        <d v="2019-07-02T00:00:00"/>
        <d v="2018-06-18T00:00:00"/>
        <d v="2018-04-12T00:00:00"/>
        <d v="2017-10-25T00:00:00"/>
        <d v="2018-05-22T00:00:00"/>
        <d v="2018-03-16T00:00:00"/>
        <d v="2017-11-03T00:00:00"/>
        <d v="2016-12-22T00:00:00"/>
        <d v="2017-12-18T00:00:00"/>
        <d v="2018-11-27T00:00:00"/>
        <d v="2019-11-13T00:00:00"/>
        <d v="2020-07-08T00:00:00"/>
        <d v="2019-01-22T00:00:00"/>
        <d v="2016-12-07T00:00:00"/>
        <d v="2017-05-05T00:00:00"/>
        <d v="2018-04-04T00:00:00"/>
        <d v="2018-08-10T00:00:00"/>
        <d v="2020-05-13T00:00:00"/>
        <d v="2016-08-18T00:00:00"/>
        <d v="2017-11-08T00:00:00"/>
        <d v="2018-06-30T00:00:00"/>
        <d v="2019-06-30T00:00:00"/>
        <d v="2017-07-13T00:00:00"/>
        <d v="2019-05-30T00:00:00"/>
        <d v="2019-12-13T00:00:00"/>
        <d v="2019-06-14T00:00:00"/>
        <d v="2017-02-16T00:00:00"/>
        <d v="2017-05-15T00:00:00"/>
        <d v="2017-12-20T00:00:00"/>
        <d v="2019-05-28T00:00:00"/>
        <d v="2016-10-17T00:00:00"/>
        <d v="2018-07-27T00:00:00"/>
        <d v="2019-09-30T00:00:00"/>
        <d v="2017-10-26T00:00:00"/>
        <d v="2019-01-16T00:00:00"/>
        <d v="2018-01-15T00:00:00"/>
        <d v="2019-07-01T00:00:00"/>
        <d v="2019-03-28T00:00:00"/>
        <d v="2019-02-27T00:00:00"/>
        <d v="2020-03-30T00:00:00"/>
        <d v="2018-12-21T00:00:00"/>
        <d v="2018-05-10T00:00:00"/>
        <d v="2017-11-30T00:00:00"/>
        <d v="2019-07-17T00:00:00"/>
        <d v="2019-06-21T00:00:00"/>
        <d v="2018-05-08T00:00:00"/>
        <d v="2019-11-20T00:00:00"/>
        <d v="2019-06-26T00:00:00"/>
        <d v="2017-07-15T00:00:00"/>
        <d v="2016-07-16T00:00:00"/>
        <d v="2020-07-01T00:00:00"/>
        <d v="2017-08-25T00:00:00"/>
        <d v="2016-10-14T00:00:00"/>
        <d v="2017-12-01T00:00:00"/>
        <d v="2016-10-11T00:00:00"/>
        <d v="2018-06-27T00:00:00"/>
        <d v="2019-10-03T00:00:00"/>
        <d v="2020-02-06T00:00:00"/>
        <d v="2017-10-23T00:00:00"/>
        <d v="2018-04-03T00:00:00"/>
        <d v="2019-08-01T00:00:00"/>
        <d v="2017-06-01T00:00:00"/>
        <d v="2019-08-26T00:00:00"/>
        <d v="2016-11-01T00:00:00"/>
        <d v="2016-10-28T00:00:00"/>
        <d v="2020-01-31T00:00:00"/>
        <d v="2018-05-15T00:00:00"/>
        <d v="2019-12-23T00:00:00"/>
        <d v="2016-10-02T00:00:00"/>
        <d v="2018-03-09T00:00:00"/>
        <d v="2018-03-01T00:00:00"/>
        <d v="2020-09-04T00:00:00"/>
        <d v="2017-09-15T00:00:00"/>
        <d v="2017-04-03T00:00:00"/>
        <d v="2017-03-30T00:00:00"/>
        <d v="2018-12-18T00:00:00"/>
        <d v="2016-08-30T00:00:00"/>
        <d v="2019-10-08T00:00:00"/>
        <d v="2017-02-13T00:00:00"/>
        <d v="2020-01-29T00:00:00"/>
        <d v="2016-09-08T00:00:00"/>
        <d v="2017-07-21T00:00:00"/>
        <d v="2019-01-25T00:00:00"/>
        <d v="2019-10-04T00:00:00"/>
        <d v="2018-05-17T00:00:00"/>
        <d v="2019-09-03T00:00:00"/>
        <d v="2019-04-22T00:00:00"/>
        <d v="2018-12-17T00:00:00"/>
        <d v="2017-06-06T00:00:00"/>
      </sharedItems>
      <fieldGroup par="22" base="2">
        <rangePr groupBy="months" startDate="2016-07-11T00:00:00" endDate="2020-10-14T00:00:00"/>
        <groupItems count="14">
          <s v="&lt;7/1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14/2020"/>
        </groupItems>
      </fieldGroup>
    </cacheField>
    <cacheField name="Contract Date" numFmtId="14">
      <sharedItems containsDate="1" containsMixedTypes="1" minDate="2016-01-08T00:00:00" maxDate="2020-10-14T00:00:00"/>
    </cacheField>
    <cacheField name="Contract End Date" numFmtId="0">
      <sharedItems containsDate="1" containsMixedTypes="1" minDate="2018-09-08T00:00:00" maxDate="2026-05-09T00:00:00"/>
    </cacheField>
    <cacheField name="FIE/FEDE/Act 60" numFmtId="0">
      <sharedItems/>
    </cacheField>
    <cacheField name="Contract/Assignment" numFmtId="0">
      <sharedItems/>
    </cacheField>
    <cacheField name="Vendor" numFmtId="0">
      <sharedItems containsBlank="1"/>
    </cacheField>
    <cacheField name="Name of Recipient" numFmtId="0">
      <sharedItems/>
    </cacheField>
    <cacheField name="Company Name w Number" numFmtId="0">
      <sharedItems/>
    </cacheField>
    <cacheField name="Municipality" numFmtId="0">
      <sharedItems/>
    </cacheField>
    <cacheField name="Eligible Activity" numFmtId="0">
      <sharedItems/>
    </cacheField>
    <cacheField name="Cash Grant Category" numFmtId="0">
      <sharedItems count="23">
        <s v="Incentivo de Mercadeo Exterior Ley 73-2008"/>
        <s v="Inversión en Infraestructura Ley 73-2008"/>
        <s v="Inversión en Maquinaria/Equipo Ley 73-2008"/>
        <s v="Special - Disaster Recovery "/>
        <s v="Ley 166-1995 - Artesanos"/>
        <s v="Creación/Retención Empleos Ley 73-2008"/>
        <s v="Ley 8-1986"/>
        <s v="PYMES Innovadoras Ley 73-2008"/>
        <s v="Creación/Retención Empleos Ley 60-2019"/>
        <s v="Inversión en Maquinaria/Equipo Ley 60-2019"/>
        <s v="Hidroponicos Ley 73-2008"/>
        <s v="Inversión en Infraestructura Ley 60-2019"/>
        <s v="Incentivo de Transporte Marítimo Ley 73-2008"/>
        <s v="Importancia de Proyecto Ley 60-2019"/>
        <s v="Aliados Estratégicos"/>
        <s v="Acuerdo de Colaboración"/>
        <s v="Servicios Profesionales "/>
        <s v="Fee"/>
        <s v="Renta Incentivada Ley 73-2008"/>
        <s v="Transferencia de Tecnología  Ley 73-2008"/>
        <s v="Compra de Materia Prima Ley 73-2008"/>
        <s v="Importancia de Proyecto Ley 73-2008"/>
        <s v="Adiestramiento Ley 73-2008"/>
      </sharedItems>
    </cacheField>
    <cacheField name="Cash Grant Amount" numFmtId="44">
      <sharedItems containsSemiMixedTypes="0" containsString="0" containsNumber="1" minValue="0" maxValue="50000000"/>
    </cacheField>
    <cacheField name="Amount Cancelled" numFmtId="44">
      <sharedItems containsString="0" containsBlank="1" containsNumber="1" minValue="0" maxValue="15000000"/>
    </cacheField>
    <cacheField name="Amount Disbursed " numFmtId="44">
      <sharedItems containsSemiMixedTypes="0" containsString="0" containsNumber="1" minValue="0" maxValue="16508586.82"/>
    </cacheField>
    <cacheField name="Contract Balance" numFmtId="44">
      <sharedItems containsSemiMixedTypes="0" containsString="0" containsNumber="1" minValue="0" maxValue="41500000"/>
    </cacheField>
    <cacheField name="Committed Direct New Hires (Full Time)" numFmtId="0">
      <sharedItems containsString="0" containsBlank="1" containsNumber="1" containsInteger="1" minValue="0" maxValue="5079"/>
    </cacheField>
    <cacheField name="Committed Capital Investment" numFmtId="44">
      <sharedItems containsBlank="1" containsMixedTypes="1" containsNumber="1" containsInteger="1" minValue="0" maxValue="283000000"/>
    </cacheField>
    <cacheField name="Committed Payroll (New Hires)" numFmtId="0">
      <sharedItems containsBlank="1" containsMixedTypes="1" containsNumber="1" minValue="0" maxValue="87030000"/>
    </cacheField>
    <cacheField name="Expected Payback Period (Years)" numFmtId="0">
      <sharedItems containsBlank="1" containsMixedTypes="1" containsNumber="1" minValue="0.14000000000000001" maxValue="8.24"/>
    </cacheField>
    <cacheField name="Quarters" numFmtId="0" databaseField="0">
      <fieldGroup base="2">
        <rangePr groupBy="quarters" startDate="2016-07-11T00:00:00" endDate="2020-10-14T00:00:00"/>
        <groupItems count="6">
          <s v="&lt;7/11/2016"/>
          <s v="Qtr1"/>
          <s v="Qtr2"/>
          <s v="Qtr3"/>
          <s v="Qtr4"/>
          <s v="&gt;10/14/2020"/>
        </groupItems>
      </fieldGroup>
    </cacheField>
    <cacheField name="Years" numFmtId="0" databaseField="0">
      <fieldGroup base="2">
        <rangePr groupBy="years" startDate="2016-07-11T00:00:00" endDate="2020-10-14T00:00:00"/>
        <groupItems count="7">
          <s v="&lt;7/11/2016"/>
          <s v="2016"/>
          <s v="2017"/>
          <s v="2018"/>
          <s v="2019"/>
          <s v="2020"/>
          <s v="&gt;10/14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Barceló Ortiz" refreshedDate="45860.42863263889" createdVersion="8" refreshedVersion="8" minRefreshableVersion="3" recordCount="1692" xr:uid="{071B3A31-1C55-497E-B038-D721652C7298}">
  <cacheSource type="worksheet">
    <worksheetSource ref="B5:P1697" sheet="Report"/>
  </cacheSource>
  <cacheFields count="18">
    <cacheField name="Incentive #" numFmtId="0">
      <sharedItems/>
    </cacheField>
    <cacheField name="Contract #" numFmtId="0">
      <sharedItems/>
    </cacheField>
    <cacheField name="Approval Date" numFmtId="0">
      <sharedItems containsSemiMixedTypes="0" containsNonDate="0" containsDate="1" containsString="0" minDate="2015-10-22T00:00:00" maxDate="2025-06-28T00:00:00" count="282">
        <d v="2015-10-22T00:00:00"/>
        <d v="2018-02-28T00:00:00"/>
        <d v="2017-09-14T00:00:00"/>
        <d v="2018-04-04T00:00:00"/>
        <d v="2018-10-31T00:00:00"/>
        <d v="2019-01-08T00:00:00"/>
        <d v="2018-11-06T00:00:00"/>
        <d v="2019-01-25T00:00:00"/>
        <d v="2018-05-10T00:00:00"/>
        <d v="2018-09-06T00:00:00"/>
        <d v="2018-07-06T00:00:00"/>
        <d v="2018-06-18T00:00:00"/>
        <d v="2019-01-31T00:00:00"/>
        <d v="2019-07-15T00:00:00"/>
        <d v="2019-03-28T00:00:00"/>
        <d v="2019-05-28T00:00:00"/>
        <d v="2018-09-28T00:00:00"/>
        <d v="2019-11-01T00:00:00"/>
        <d v="2019-09-16T00:00:00"/>
        <d v="2019-11-13T00:00:00"/>
        <d v="2019-09-27T00:00:00"/>
        <d v="2020-03-30T00:00:00"/>
        <d v="2019-06-20T00:00:00"/>
        <d v="2019-10-03T00:00:00"/>
        <d v="2019-11-06T00:00:00"/>
        <d v="2020-01-21T00:00:00"/>
        <d v="2019-11-08T00:00:00"/>
        <d v="2020-07-14T00:00:00"/>
        <d v="2017-05-05T00:00:00"/>
        <d v="2020-01-29T00:00:00"/>
        <d v="2020-07-13T00:00:00"/>
        <d v="2020-08-04T00:00:00"/>
        <d v="2019-12-02T00:00:00"/>
        <d v="2020-09-09T00:00:00"/>
        <d v="2020-01-16T00:00:00"/>
        <d v="2020-10-05T00:00:00"/>
        <d v="2020-09-04T00:00:00"/>
        <d v="2020-12-29T00:00:00"/>
        <d v="2020-12-10T00:00:00"/>
        <d v="2019-11-05T00:00:00"/>
        <d v="2020-07-01T00:00:00"/>
        <d v="2022-12-22T00:00:00"/>
        <d v="2021-05-26T00:00:00"/>
        <d v="2021-06-01T00:00:00"/>
        <d v="2020-01-13T00:00:00"/>
        <d v="2021-04-23T00:00:00"/>
        <d v="2021-06-07T00:00:00"/>
        <d v="2021-05-28T00:00:00"/>
        <d v="2021-08-04T00:00:00"/>
        <d v="2021-06-09T00:00:00"/>
        <d v="2021-07-01T00:00:00"/>
        <d v="2021-09-22T00:00:00"/>
        <d v="2021-10-18T00:00:00"/>
        <d v="2021-09-02T00:00:00"/>
        <d v="2022-01-12T00:00:00"/>
        <d v="2022-08-08T00:00:00"/>
        <d v="2021-09-14T00:00:00"/>
        <d v="2021-12-30T00:00:00"/>
        <d v="2019-07-29T00:00:00"/>
        <d v="2021-11-02T00:00:00"/>
        <d v="2022-01-24T00:00:00"/>
        <d v="2020-12-11T00:00:00"/>
        <d v="2022-01-21T00:00:00"/>
        <d v="2022-01-26T00:00:00"/>
        <d v="2022-01-28T00:00:00"/>
        <d v="2022-03-14T00:00:00"/>
        <d v="2022-04-29T00:00:00"/>
        <d v="2022-04-21T00:00:00"/>
        <d v="2022-04-27T00:00:00"/>
        <d v="2022-02-28T00:00:00"/>
        <d v="2022-03-30T00:00:00"/>
        <d v="2019-02-28T00:00:00"/>
        <d v="2021-12-06T00:00:00"/>
        <d v="2022-06-28T00:00:00"/>
        <d v="2021-09-30T00:00:00"/>
        <d v="2022-08-30T00:00:00"/>
        <d v="2022-09-19T00:00:00"/>
        <d v="2022-08-19T00:00:00"/>
        <d v="2022-07-07T00:00:00"/>
        <d v="2021-09-23T00:00:00"/>
        <d v="2022-10-05T00:00:00"/>
        <d v="2022-11-08T00:00:00"/>
        <d v="2023-01-20T00:00:00"/>
        <d v="2023-02-15T00:00:00"/>
        <d v="2022-11-04T00:00:00"/>
        <d v="2022-12-15T00:00:00"/>
        <d v="2022-11-22T00:00:00"/>
        <d v="2022-12-02T00:00:00"/>
        <d v="2023-01-23T00:00:00"/>
        <d v="2021-08-31T00:00:00"/>
        <d v="2023-02-17T00:00:00"/>
        <d v="2023-03-15T00:00:00"/>
        <d v="2022-10-06T00:00:00"/>
        <d v="2023-02-24T00:00:00"/>
        <d v="2023-05-15T00:00:00"/>
        <d v="2023-05-04T00:00:00"/>
        <d v="2023-06-15T00:00:00"/>
        <d v="2022-10-11T00:00:00"/>
        <d v="2025-02-07T00:00:00"/>
        <d v="2023-08-02T00:00:00"/>
        <d v="2022-09-16T00:00:00"/>
        <d v="2023-09-08T00:00:00"/>
        <d v="2021-08-07T00:00:00"/>
        <d v="2023-12-13T00:00:00"/>
        <d v="2020-07-15T00:00:00"/>
        <d v="2023-12-15T00:00:00"/>
        <d v="2024-12-13T00:00:00"/>
        <d v="2024-06-18T00:00:00"/>
        <d v="2023-11-09T00:00:00"/>
        <d v="2024-01-10T00:00:00"/>
        <d v="2023-12-19T00:00:00"/>
        <d v="2023-11-04T00:00:00"/>
        <d v="2024-02-05T00:00:00"/>
        <d v="2023-08-13T00:00:00"/>
        <d v="2023-08-15T00:00:00"/>
        <d v="2024-02-06T00:00:00"/>
        <d v="2024-03-14T00:00:00"/>
        <d v="2024-02-12T00:00:00"/>
        <d v="2024-02-26T00:00:00"/>
        <d v="2024-02-29T00:00:00"/>
        <d v="2023-08-03T00:00:00"/>
        <d v="2023-08-06T00:00:00"/>
        <d v="2024-02-07T00:00:00"/>
        <d v="2024-02-23T00:00:00"/>
        <d v="2023-08-07T00:00:00"/>
        <d v="2023-08-08T00:00:00"/>
        <d v="2024-03-25T00:00:00"/>
        <d v="2024-03-26T00:00:00"/>
        <d v="2024-04-01T00:00:00"/>
        <d v="2024-03-06T00:00:00"/>
        <d v="2024-03-12T00:00:00"/>
        <d v="2024-02-20T00:00:00"/>
        <d v="2024-04-17T00:00:00"/>
        <d v="2024-04-11T00:00:00"/>
        <d v="2024-04-03T00:00:00"/>
        <d v="2024-08-22T00:00:00"/>
        <d v="2024-04-23T00:00:00"/>
        <d v="2024-03-11T00:00:00"/>
        <d v="2024-02-15T00:00:00"/>
        <d v="2024-04-26T00:00:00"/>
        <d v="2024-02-14T00:00:00"/>
        <d v="2023-10-20T00:00:00"/>
        <d v="2024-04-24T00:00:00"/>
        <d v="2023-08-09T00:00:00"/>
        <d v="2023-08-10T00:00:00"/>
        <d v="2024-05-21T00:00:00"/>
        <d v="2024-06-30T00:00:00"/>
        <d v="2024-06-06T00:00:00"/>
        <d v="2024-02-16T00:00:00"/>
        <d v="2024-03-18T00:00:00"/>
        <d v="2024-06-17T00:00:00"/>
        <d v="2024-05-28T00:00:00"/>
        <d v="2024-06-13T00:00:00"/>
        <d v="2024-06-26T00:00:00"/>
        <d v="2024-07-01T00:00:00"/>
        <d v="2024-07-10T00:00:00"/>
        <d v="2024-05-22T00:00:00"/>
        <d v="2024-07-09T00:00:00"/>
        <d v="2024-07-08T00:00:00"/>
        <d v="2024-08-03T00:00:00"/>
        <d v="2024-08-07T00:00:00"/>
        <d v="2024-08-09T00:00:00"/>
        <d v="2024-08-01T00:00:00"/>
        <d v="2024-07-17T00:00:00"/>
        <d v="2024-08-30T00:00:00"/>
        <d v="2024-08-28T00:00:00"/>
        <d v="2024-09-03T00:00:00"/>
        <d v="2024-07-03T00:00:00"/>
        <d v="2024-08-02T00:00:00"/>
        <d v="2024-09-18T00:00:00"/>
        <d v="2023-12-14T00:00:00"/>
        <d v="2024-06-24T00:00:00"/>
        <d v="2024-10-08T00:00:00"/>
        <d v="2024-10-09T00:00:00"/>
        <d v="2024-10-16T00:00:00"/>
        <d v="2024-10-28T00:00:00"/>
        <d v="2024-07-18T00:00:00"/>
        <d v="2024-09-26T00:00:00"/>
        <d v="2024-09-20T00:00:00"/>
        <d v="2024-09-05T00:00:00"/>
        <d v="2024-09-25T00:00:00"/>
        <d v="2024-10-11T00:00:00"/>
        <d v="2024-11-08T00:00:00"/>
        <d v="2024-11-12T00:00:00"/>
        <d v="2024-11-18T00:00:00"/>
        <d v="2024-11-07T00:00:00"/>
        <d v="2024-11-21T00:00:00"/>
        <d v="2024-11-20T00:00:00"/>
        <d v="2024-11-25T00:00:00"/>
        <d v="2024-11-13T00:00:00"/>
        <d v="2024-10-29T00:00:00"/>
        <d v="2024-09-13T00:00:00"/>
        <d v="2024-09-09T00:00:00"/>
        <d v="2024-09-17T00:00:00"/>
        <d v="2024-09-24T00:00:00"/>
        <d v="2024-08-23T00:00:00"/>
        <d v="2024-10-23T00:00:00"/>
        <d v="2024-12-03T00:00:00"/>
        <d v="2024-09-14T00:00:00"/>
        <d v="2024-12-18T00:00:00"/>
        <d v="2024-12-02T00:00:00"/>
        <d v="2024-11-22T00:00:00"/>
        <d v="2023-08-31T00:00:00"/>
        <d v="2020-02-21T00:00:00"/>
        <d v="2024-06-28T00:00:00"/>
        <d v="2024-11-01T00:00:00"/>
        <d v="2024-10-15T00:00:00"/>
        <d v="2024-08-29T00:00:00"/>
        <d v="2024-12-26T00:00:00"/>
        <d v="2024-12-27T00:00:00"/>
        <d v="2024-12-30T00:00:00"/>
        <d v="2025-02-11T00:00:00"/>
        <d v="2025-02-12T00:00:00"/>
        <d v="2025-02-14T00:00:00"/>
        <d v="2025-02-24T00:00:00"/>
        <d v="2024-02-25T00:00:00"/>
        <d v="2025-02-26T00:00:00"/>
        <d v="2025-02-27T00:00:00"/>
        <d v="2024-09-23T00:00:00"/>
        <d v="2024-12-20T00:00:00"/>
        <d v="2025-02-28T00:00:00"/>
        <d v="2025-03-04T00:00:00"/>
        <d v="2025-03-07T00:00:00"/>
        <d v="2025-03-08T00:00:00"/>
        <d v="2025-03-13T00:00:00"/>
        <d v="2025-03-14T00:00:00"/>
        <d v="2025-03-18T00:00:00"/>
        <d v="2025-03-21T00:00:00"/>
        <d v="2025-03-24T00:00:00"/>
        <d v="2025-03-02T00:00:00"/>
        <d v="2025-03-23T00:00:00"/>
        <d v="2024-10-22T00:00:00"/>
        <d v="2025-03-06T00:00:00"/>
        <d v="2024-06-21T00:00:00"/>
        <d v="2024-11-05T00:00:00"/>
        <d v="2024-11-15T00:00:00"/>
        <d v="2021-08-06T00:00:00"/>
        <d v="2025-03-25T00:00:00"/>
        <d v="2025-03-27T00:00:00"/>
        <d v="2025-03-31T00:00:00"/>
        <d v="2025-04-01T00:00:00"/>
        <d v="2025-04-07T00:00:00"/>
        <d v="2025-04-11T00:00:00"/>
        <d v="2025-04-12T00:00:00"/>
        <d v="2025-04-13T00:00:00"/>
        <d v="2025-04-14T00:00:00"/>
        <d v="2023-10-23T00:00:00"/>
        <d v="2024-10-19T00:00:00"/>
        <d v="2023-03-24T00:00:00"/>
        <d v="2025-04-16T00:00:00"/>
        <d v="2025-05-06T00:00:00"/>
        <d v="2025-05-14T00:00:00"/>
        <d v="2025-05-15T00:00:00"/>
        <d v="2025-05-16T00:00:00"/>
        <d v="2025-05-27T00:00:00"/>
        <d v="2025-05-30T00:00:00"/>
        <d v="2025-06-03T00:00:00"/>
        <d v="2021-05-12T00:00:00"/>
        <d v="2025-02-13T00:00:00"/>
        <d v="2023-06-16T00:00:00"/>
        <d v="2025-06-04T00:00:00"/>
        <d v="2025-06-11T00:00:00"/>
        <d v="2025-06-13T00:00:00"/>
        <d v="2025-06-17T00:00:00"/>
        <d v="2025-06-18T00:00:00"/>
        <d v="2025-06-20T00:00:00"/>
        <d v="2025-06-24T00:00:00"/>
        <d v="2025-06-25T00:00:00"/>
        <d v="2025-06-27T00:00:00"/>
        <d v="2024-10-18T00:00:00"/>
        <d v="2025-03-11T00:00:00"/>
        <d v="2024-08-12T00:00:00"/>
        <d v="2024-08-26T00:00:00"/>
        <d v="2024-10-17T00:00:00"/>
        <d v="2024-11-09T00:00:00"/>
        <d v="2024-12-10T00:00:00"/>
        <d v="2024-12-17T00:00:00"/>
        <d v="2025-02-19T00:00:00"/>
        <d v="2025-05-22T00:00:00"/>
        <d v="2025-06-02T00:00:00"/>
        <d v="2025-05-19T00:00:00"/>
        <d v="2024-08-05T00:00:00" u="1"/>
      </sharedItems>
      <fieldGroup par="17"/>
    </cacheField>
    <cacheField name="Contract Date" numFmtId="0">
      <sharedItems containsNonDate="0" containsDate="1" containsMixedTypes="1" minDate="2016-03-31T00:00:00" maxDate="2025-10-16T00:00:00"/>
    </cacheField>
    <cacheField name="Contract End Date" numFmtId="0">
      <sharedItems containsNonDate="0" containsDate="1" containsMixedTypes="1" minDate="2019-03-17T00:00:00" maxDate="5202-10-05T00:00:00"/>
    </cacheField>
    <cacheField name="Contract / Cancelled" numFmtId="0">
      <sharedItems/>
    </cacheField>
    <cacheField name="Name of Recipient" numFmtId="0">
      <sharedItems/>
    </cacheField>
    <cacheField name="Municipality" numFmtId="0">
      <sharedItems containsBlank="1"/>
    </cacheField>
    <cacheField name="Eligible Activity" numFmtId="0">
      <sharedItems containsBlank="1" longText="1"/>
    </cacheField>
    <cacheField name="Cash Grant Category" numFmtId="0">
      <sharedItems count="46">
        <s v="Renta Incentivada Ley 73-2008"/>
        <s v="Creación/Retención Empleos Ley 73-2008"/>
        <s v="Inversión en Infraestructura Ley 73-2008"/>
        <s v="Inversión en Maquinaria/Equipo Ley 73-2008"/>
        <s v="Importancia de Proyecto Ley 73-2008"/>
        <s v="Hidropónicos Ley 73-2008"/>
        <s v="Otros Incentivos"/>
        <s v="Aliados Estratégicos"/>
        <s v="Creación/Retención Empleos Ley 60-2019"/>
        <s v="Inversión en Infraestructura Ley 60-2019"/>
        <s v="Inversión en Maquinaria/Equipo Ley 60-2019"/>
        <s v="PYMES Innovadoras LEY 73-2008"/>
        <s v="Importancia de Proyecto Ley 60-2019"/>
        <s v="Incentivo de Mercadeo Exterior Ley 60-2019"/>
        <s v="Cine"/>
        <s v="Ley 166-1995 - Artesanos"/>
        <s v="Importancia de proyecto-PDJ"/>
        <s v="PYMES Innovadoras Ley 60-2019"/>
        <s v="Maquinaria y Equipo-Pymes CCE"/>
        <s v="Incentivo de Transporte Marítimo Ley 73-2008"/>
        <s v="Importancia de proyecto-Pymes Capital semilla"/>
        <s v="Incentivo para el Desarrollo de las Artesanías en PR"/>
        <s v="Ayuda Pymes Huracán Fiona"/>
        <s v="Hidropónicos Ley 60-2019"/>
        <s v="Importancia de proyecto-CRECE: Apoyo Pymes y Capital semilla"/>
        <s v="Importancia de proyecto - PROMOEXPORT "/>
        <s v="Incentivo de Transporte Marítimo Ley 60-2019"/>
        <s v="Transferencia de Tecnología Ley 60-2019"/>
        <s v="Industrias Creativas"/>
        <s v="Importancia de Proyecto"/>
        <s v="Apoyo empresarial"/>
        <s v="Incentivo de Mercadeo empresas NO elegibles a decretos - PCE"/>
        <s v="Incentivo de Mercadeo Ley 60-2019"/>
        <s v="Ley 8-1986"/>
        <s v="Incentivo Especial de Transporte Marítimo Ley 60-2019"/>
        <s v="Otros"/>
        <s v="Incentivo en Maquinaria/Equipo Ley 60-2019"/>
        <s v="Inversion en maquinaria y equipo/Ley 73-2008"/>
        <s v="PCE Programa Alianzas"/>
        <s v="Gastos de Servicios Profesionales"/>
        <s v="Inversión en Maquinaria y Equipo/Ley 60-2019"/>
        <s v="Servicios Profesionales"/>
        <s v="Otros / Proyectos Estratégicos"/>
        <s v="Incentivo de Mercadeo/Ley 60-20219"/>
        <s v="Otros - PROGRAMA CAPITAL SEMILLA PARA PYMES EXISTENTES"/>
        <s v="Pymes Innovadoras"/>
      </sharedItems>
    </cacheField>
    <cacheField name="Cash Grant Amount" numFmtId="0">
      <sharedItems containsSemiMixedTypes="0" containsString="0" containsNumber="1" minValue="300" maxValue="50000000"/>
    </cacheField>
    <cacheField name="Amount Cancelled" numFmtId="8">
      <sharedItems containsString="0" containsBlank="1" containsNumber="1" minValue="0" maxValue="6000000"/>
    </cacheField>
    <cacheField name="Amount Disbursed " numFmtId="8">
      <sharedItems containsString="0" containsBlank="1" containsNumber="1" minValue="0" maxValue="27500000"/>
    </cacheField>
    <cacheField name="Balance" numFmtId="8">
      <sharedItems containsString="0" containsBlank="1" containsNumber="1" minValue="0" maxValue="25000000"/>
    </cacheField>
    <cacheField name="ROI" numFmtId="0">
      <sharedItems containsBlank="1" containsMixedTypes="1" containsNumber="1" minValue="-53.95" maxValue="13489.08"/>
    </cacheField>
    <cacheField name="Months (Approval Date)" numFmtId="0" databaseField="0">
      <fieldGroup base="2">
        <rangePr groupBy="months" startDate="2015-10-22T00:00:00" endDate="2025-06-28T00:00:00"/>
        <groupItems count="14">
          <s v="&lt;10/22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28/2025"/>
        </groupItems>
      </fieldGroup>
    </cacheField>
    <cacheField name="Quarters (Approval Date)" numFmtId="0" databaseField="0">
      <fieldGroup base="2">
        <rangePr groupBy="quarters" startDate="2015-10-22T00:00:00" endDate="2025-06-28T00:00:00"/>
        <groupItems count="6">
          <s v="&lt;10/22/2015"/>
          <s v="Qtr1"/>
          <s v="Qtr2"/>
          <s v="Qtr3"/>
          <s v="Qtr4"/>
          <s v="&gt;6/28/2025"/>
        </groupItems>
      </fieldGroup>
    </cacheField>
    <cacheField name="Years (Approval Date)" numFmtId="0" databaseField="0">
      <fieldGroup base="2">
        <rangePr groupBy="years" startDate="2015-10-22T00:00:00" endDate="2025-06-28T00:00:00"/>
        <groupItems count="13">
          <s v="&lt;10/22/2015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6/28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5">
  <r>
    <s v="FIE-2016-2017-IIP-0036"/>
    <s v="2017-000476"/>
    <x v="0"/>
    <d v="2017-06-28T00:00:00"/>
    <s v=""/>
    <s v="INCENT ESP"/>
    <s v="Contract"/>
    <s v="T6700"/>
    <s v="3A PRESS CORP."/>
    <s v="T6700 - 3A PRESS CORP."/>
    <s v="LAJAS"/>
    <s v="INSERTS, OUTSERTS AND MANUALS                                                 "/>
    <x v="0"/>
    <n v="40000"/>
    <n v="36165.61"/>
    <n v="3834.39"/>
    <n v="0"/>
    <n v="0"/>
    <s v=""/>
    <s v=""/>
    <m/>
  </r>
  <r>
    <s v="FIE-2016-2017-IIP-0059"/>
    <s v="2018-000113"/>
    <x v="1"/>
    <d v="2017-10-26T00:00:00"/>
    <s v=""/>
    <s v="INCENT ESP"/>
    <s v="Contract"/>
    <s v="T6700"/>
    <s v="3A PRESS CORP."/>
    <s v="T6700 - 3A PRESS CORP."/>
    <s v="LAJAS"/>
    <s v="INSERTS, OUTSERTS AND MANUALS                                                 "/>
    <x v="1"/>
    <n v="145256.87"/>
    <n v="0"/>
    <n v="0"/>
    <n v="145256.87"/>
    <n v="0"/>
    <n v="145000"/>
    <s v=""/>
    <m/>
  </r>
  <r>
    <s v="FIE-2018-2019-IIP-0016"/>
    <s v="2019-000488"/>
    <x v="2"/>
    <d v="2019-06-19T00:00:00"/>
    <s v=""/>
    <s v="INCENT ESP"/>
    <s v="Contract"/>
    <s v="T6700"/>
    <s v="3A PRESS CORP."/>
    <s v="T6700 - 3A PRESS CORP."/>
    <s v="LAJAS"/>
    <s v="INSERTS, OUTSERTS AND MANUALS                                                 "/>
    <x v="0"/>
    <n v="50000"/>
    <n v="0"/>
    <n v="656.25"/>
    <n v="49343.75"/>
    <n v="0"/>
    <s v=""/>
    <s v=""/>
    <m/>
  </r>
  <r>
    <s v="FE-2016-2017-0024"/>
    <s v="2017-000380-A"/>
    <x v="3"/>
    <d v="2017-10-26T00:00:00"/>
    <d v="2019-12-03T00:00:00"/>
    <s v="INCENT FEDE"/>
    <s v="Contract"/>
    <s v="T0211"/>
    <s v="3A PRESS, INC."/>
    <s v="T0211 - 3A PRESS, INC."/>
    <s v="LAJAS"/>
    <s v="INSERTS, OUTSERTS AND MANUALS                                                 "/>
    <x v="1"/>
    <n v="408790.85"/>
    <n v="44220.17"/>
    <n v="364570.68"/>
    <n v="0"/>
    <n v="0"/>
    <n v="408000"/>
    <s v=""/>
    <m/>
  </r>
  <r>
    <s v="FE-2019-2020-0005"/>
    <s v="2020-000170"/>
    <x v="4"/>
    <d v="2019-10-09T00:00:00"/>
    <d v="2024-08-10T00:00:00"/>
    <s v="INCENT FEDE"/>
    <s v="Contract"/>
    <s v="T0211"/>
    <s v="3A PRESS, INC."/>
    <s v="T0211 - 3A PRESS, INC."/>
    <s v="LAJAS"/>
    <s v="INSERTS, OUTSERTS AND MANUALS                                                 "/>
    <x v="2"/>
    <n v="5000000"/>
    <n v="0"/>
    <n v="4020620.5"/>
    <n v="979379.5"/>
    <n v="0"/>
    <n v="7367000"/>
    <n v="660192"/>
    <m/>
  </r>
  <r>
    <s v="FIE-2017-2018-IIP-0075"/>
    <s v="2018-000239"/>
    <x v="5"/>
    <d v="2017-12-22T00:00:00"/>
    <s v=""/>
    <s v="INCENT ESP"/>
    <s v="Contract"/>
    <s v="F0212"/>
    <s v="4T HOLDINGS, LLC"/>
    <s v="F0212 - 4T HOLDINGS, LLC"/>
    <s v="AGUADILLA"/>
    <s v="Incentivo de Emergencias Huracanes - Generadores"/>
    <x v="3"/>
    <n v="14450"/>
    <n v="0.05"/>
    <n v="14449.95"/>
    <n v="0"/>
    <n v="0"/>
    <s v=""/>
    <s v=""/>
    <m/>
  </r>
  <r>
    <s v="FIE-2016-2017-IIP-0004"/>
    <s v="2017-000205"/>
    <x v="6"/>
    <d v="2016-10-19T00:00:00"/>
    <s v=""/>
    <s v="INCENT ESP"/>
    <s v="Contract"/>
    <s v="70000"/>
    <s v="7.29 EVENTS CORP."/>
    <s v="70000 - 7.29 EVENTS CORP."/>
    <s v="SAN JUAN"/>
    <s v="Programa Artesanía"/>
    <x v="4"/>
    <n v="2225"/>
    <n v="100"/>
    <n v="2125"/>
    <n v="0"/>
    <n v="0"/>
    <s v=""/>
    <s v=""/>
    <m/>
  </r>
  <r>
    <s v="FIE-2019-2020-IIP-0021"/>
    <s v="2020-000190"/>
    <x v="7"/>
    <d v="2019-10-28T00:00:00"/>
    <s v=""/>
    <s v="INCENT ESP"/>
    <s v="Contract"/>
    <s v="70000"/>
    <s v="7.29 EVENTS CORP."/>
    <s v="70000 - 7.29 EVENTS CORP."/>
    <s v="SAN JUAN"/>
    <s v="Programa Artesanía"/>
    <x v="4"/>
    <n v="2000"/>
    <n v="0"/>
    <n v="2000"/>
    <n v="0"/>
    <n v="0"/>
    <s v=""/>
    <s v=""/>
    <m/>
  </r>
  <r>
    <s v="FIE-2017-2018-IIE-0132"/>
    <s v="En Proceso"/>
    <x v="8"/>
    <s v="En Proceso"/>
    <s v=""/>
    <s v="INCENT ESP"/>
    <s v="Assignment"/>
    <m/>
    <s v="A&amp;K DISTRIBUTORS PR LLC."/>
    <s v="A&amp;K DISTRIBUTORS PR LLC."/>
    <s v="AGUADILLA"/>
    <s v="Wholesale Generica Drug Distributor"/>
    <x v="5"/>
    <n v="240000"/>
    <n v="0"/>
    <n v="0"/>
    <n v="240000"/>
    <n v="100"/>
    <n v="125000"/>
    <n v="3500000"/>
    <m/>
  </r>
  <r>
    <s v="FIE-2016-2017-IEE-0027"/>
    <s v="2016-000591-C"/>
    <x v="9"/>
    <d v="2016-11-10T00:00:00"/>
    <s v=""/>
    <s v="INCENT ESP"/>
    <s v="Contract"/>
    <s v="A0050"/>
    <s v="A. AVANTI KITCHENS, INC."/>
    <s v="A0050 - A. AVANTI KITCHENS, INC."/>
    <s v="TOA BAJA"/>
    <s v="Muebles"/>
    <x v="6"/>
    <n v="33997"/>
    <n v="0"/>
    <n v="33997"/>
    <n v="0"/>
    <n v="0"/>
    <s v=""/>
    <s v=""/>
    <m/>
  </r>
  <r>
    <s v="FIE-2016-2017-IEE-0041"/>
    <s v="2017-000343"/>
    <x v="10"/>
    <d v="2017-02-13T00:00:00"/>
    <s v=""/>
    <s v="INCENT ESP"/>
    <s v="Contract"/>
    <s v="A0050"/>
    <s v="A. AVANTI KITCHENS, INC."/>
    <s v="A0050 - A. AVANTI KITCHENS, INC."/>
    <s v="TOA BAJA"/>
    <s v="Muebles"/>
    <x v="6"/>
    <n v="24160"/>
    <n v="0"/>
    <n v="24160"/>
    <n v="0"/>
    <n v="0"/>
    <s v=""/>
    <s v=""/>
    <m/>
  </r>
  <r>
    <s v="FIE-2017-2018-IEE-0125"/>
    <s v="En Proceso"/>
    <x v="11"/>
    <s v="En Proceso"/>
    <s v=""/>
    <s v="INCENT ESP"/>
    <s v="Assignment"/>
    <s v="A0050"/>
    <s v="A. AVANTI KITCHENS, INC."/>
    <s v="A0050 - A. AVANTI KITCHENS, INC."/>
    <s v="TOA BAJA"/>
    <s v="Muebles"/>
    <x v="6"/>
    <n v="24214"/>
    <n v="24214"/>
    <n v="0"/>
    <n v="0"/>
    <n v="0"/>
    <s v=""/>
    <s v=""/>
    <m/>
  </r>
  <r>
    <s v="FIE-2018-2019-IEE-0061"/>
    <s v="2020-000013"/>
    <x v="12"/>
    <d v="2019-07-15T00:00:00"/>
    <s v=""/>
    <s v="INCENT ESP"/>
    <s v="Contract"/>
    <s v="A0050"/>
    <s v="A. AVANTI KITCHENS, INC."/>
    <s v="A0050 - A. AVANTI KITCHENS, INC."/>
    <s v="TOA BAJA"/>
    <s v="Muebles"/>
    <x v="6"/>
    <n v="70155"/>
    <n v="0"/>
    <n v="70155"/>
    <n v="0"/>
    <n v="0"/>
    <s v=""/>
    <s v=""/>
    <m/>
  </r>
  <r>
    <s v="FIE-2018-2019-IEE-0062"/>
    <s v="2020-000013-A"/>
    <x v="13"/>
    <d v="2019-08-02T00:00:00"/>
    <s v=""/>
    <s v="INCENT ESP"/>
    <s v="Contract"/>
    <s v="A0050"/>
    <s v="A. AVANTI KITCHENS, INC."/>
    <s v="A0050 - A. AVANTI KITCHENS, INC."/>
    <s v="TOA BAJA"/>
    <s v="Muebles"/>
    <x v="6"/>
    <n v="51185"/>
    <n v="0"/>
    <n v="51185"/>
    <n v="0"/>
    <n v="0"/>
    <s v=""/>
    <s v=""/>
    <m/>
  </r>
  <r>
    <s v="FIE-2019-2020-IEE-0083"/>
    <s v="2020-000013-B"/>
    <x v="14"/>
    <d v="2020-01-28T00:00:00"/>
    <s v=""/>
    <s v="INCENT ESP"/>
    <s v="Contract"/>
    <s v="A0050"/>
    <s v="A. AVANTI KITCHENS, INC."/>
    <s v="A0050 - A. AVANTI KITCHENS, INC."/>
    <s v="TOA BAJA"/>
    <s v="Muebles"/>
    <x v="6"/>
    <n v="26853"/>
    <n v="0"/>
    <n v="26853"/>
    <n v="0"/>
    <n v="0"/>
    <s v=""/>
    <s v=""/>
    <m/>
  </r>
  <r>
    <s v="FIE-2019-2020-IEE-0103"/>
    <s v="En Proceso"/>
    <x v="15"/>
    <s v="En Proceso"/>
    <s v=""/>
    <s v="INCENT ESP"/>
    <s v="Assignment"/>
    <s v="A0050"/>
    <s v="A. AVANTI KITCHENS, INC."/>
    <s v="A0050 - A. AVANTI KITCHENS, INC."/>
    <s v="TOA BAJA"/>
    <s v="Muebles"/>
    <x v="6"/>
    <n v="1807"/>
    <n v="0"/>
    <n v="0"/>
    <n v="1807"/>
    <n v="0"/>
    <s v=""/>
    <s v=""/>
    <m/>
  </r>
  <r>
    <s v="FIE-2020-2021-IEE-0001"/>
    <s v="En Proceso"/>
    <x v="16"/>
    <s v="En Proceso"/>
    <s v=""/>
    <s v="INCENT ESP"/>
    <s v="Assignment"/>
    <s v="A0050"/>
    <s v="A. AVANTI KITCHENS, INC."/>
    <s v="A0050 - A. AVANTI KITCHENS, INC."/>
    <s v="TOA BAJA"/>
    <s v="Muebles"/>
    <x v="6"/>
    <n v="41169"/>
    <n v="0"/>
    <n v="0"/>
    <n v="41169"/>
    <n v="0"/>
    <s v=""/>
    <s v=""/>
    <m/>
  </r>
  <r>
    <s v="FIE60-2020-2021-0059"/>
    <s v="En Proceso"/>
    <x v="17"/>
    <s v="En Proceso"/>
    <s v=""/>
    <s v="INCENT LEY 60"/>
    <s v="Assignment"/>
    <s v="A0050"/>
    <s v="A. AVANTI KITCHENS, INC."/>
    <s v="A0050 - A. AVANTI KITCHENS, INC."/>
    <s v="TOA BAJA"/>
    <s v="Muebles"/>
    <x v="6"/>
    <n v="23738"/>
    <n v="0"/>
    <n v="0"/>
    <n v="23738"/>
    <n v="0"/>
    <s v=""/>
    <s v=""/>
    <s v=""/>
  </r>
  <r>
    <s v="FIE60-2020-2021-0060"/>
    <s v="En Proceso"/>
    <x v="17"/>
    <s v="En Proceso"/>
    <s v=""/>
    <s v="INCENT LEY 60"/>
    <s v="Assignment"/>
    <s v="A0050"/>
    <s v="A. AVANTI KITCHENS, INC."/>
    <s v="A0050 - A. AVANTI KITCHENS, INC."/>
    <s v="TOA BAJA"/>
    <s v="Muebles"/>
    <x v="6"/>
    <n v="43889"/>
    <n v="0"/>
    <n v="0"/>
    <n v="43889"/>
    <n v="0"/>
    <s v=""/>
    <s v=""/>
    <s v=""/>
  </r>
  <r>
    <s v="FIE60-2020-2021-0061"/>
    <s v="En Proceso"/>
    <x v="17"/>
    <s v="En Proceso"/>
    <s v=""/>
    <s v="INCENT LEY 60"/>
    <s v="Assignment"/>
    <s v="A0050"/>
    <s v="A. AVANTI KITCHENS, INC."/>
    <s v="A0050 - A. AVANTI KITCHENS, INC."/>
    <s v="TOA BAJA"/>
    <s v="Muebles"/>
    <x v="6"/>
    <n v="36771.33"/>
    <n v="0"/>
    <n v="0"/>
    <n v="36771.33"/>
    <n v="0"/>
    <s v=""/>
    <s v=""/>
    <s v=""/>
  </r>
  <r>
    <s v="FE-2018-2019-0038"/>
    <s v="2019-000440"/>
    <x v="18"/>
    <d v="2019-05-12T00:00:00"/>
    <s v="31/12/2020"/>
    <s v="INCENT FEDE"/>
    <s v="Contract"/>
    <s v="A0602"/>
    <s v="ABARCA HEALTH, LLC"/>
    <s v="A0602 - ABARCA HEALTH, LLC"/>
    <s v="SAN JUAN"/>
    <s v="Centros de procesamiento electrónico de datos, centros de llamadas"/>
    <x v="5"/>
    <n v="36000"/>
    <n v="0"/>
    <n v="36000"/>
    <n v="0"/>
    <n v="12"/>
    <n v="1003000"/>
    <n v="780000"/>
    <m/>
  </r>
  <r>
    <s v="FE-2018-2019-0039"/>
    <s v="2019-000439"/>
    <x v="19"/>
    <d v="2019-05-02T00:00:00"/>
    <s v="31/12/2020"/>
    <s v="INCENT FEDE"/>
    <s v="Contract"/>
    <s v="A0601"/>
    <s v="ABARCA TECHNOLOGIES, LLC"/>
    <s v="A0601 - ABARCA TECHNOLOGIES, LLC"/>
    <s v="SAN JUAN"/>
    <s v="Desarrollo de Software "/>
    <x v="5"/>
    <n v="246000"/>
    <n v="0"/>
    <n v="135000"/>
    <n v="111000"/>
    <n v="82"/>
    <n v="208665"/>
    <n v="5330000"/>
    <m/>
  </r>
  <r>
    <s v="FIE-2018-2019-IIP-0030"/>
    <s v="2019-000481"/>
    <x v="20"/>
    <d v="2019-06-06T00:00:00"/>
    <s v=""/>
    <s v="INCENT ESP"/>
    <s v="Contract"/>
    <s v="A0605"/>
    <s v="ABARTYS HEALTH, LLC"/>
    <s v="A0605 - ABARTYS HEALTH, LLC"/>
    <s v="GUAYNABO"/>
    <s v="Tecnología"/>
    <x v="7"/>
    <n v="50000"/>
    <n v="0"/>
    <n v="50000"/>
    <n v="0"/>
    <n v="0"/>
    <s v=""/>
    <s v=""/>
    <m/>
  </r>
  <r>
    <s v="FE-2019-2020-0047"/>
    <s v="2020-000371"/>
    <x v="21"/>
    <d v="2020-02-24T00:00:00"/>
    <s v="23/2/2025"/>
    <s v="INCENT FEDE"/>
    <s v="Contract"/>
    <s v="A0617"/>
    <s v="ABBOTT DIAGNOSTICS INTERNATIONAL, LTD "/>
    <s v="A0617 - ABBOTT DIAGNOSTICS INTERNATIONAL, LTD "/>
    <s v="SAN JUAN"/>
    <s v="Farmaceútica"/>
    <x v="5"/>
    <n v="1110000"/>
    <n v="0"/>
    <n v="0"/>
    <n v="1110000"/>
    <n v="75"/>
    <n v="19900000"/>
    <n v="2300000"/>
    <m/>
  </r>
  <r>
    <s v="FE-2019-2020-0046"/>
    <s v="2020-000370"/>
    <x v="21"/>
    <d v="2020-02-24T00:00:00"/>
    <s v="23/2/2025"/>
    <s v="INCENT FEDE"/>
    <s v="Contract"/>
    <s v="A0617"/>
    <s v="ABBOTT DIAGNOSTICS INTERNATIONAL, LTD "/>
    <s v="A0617 - ABBOTT DIAGNOSTICS INTERNATIONAL, LTD "/>
    <s v="SAN JUAN"/>
    <s v="Farmaceútica"/>
    <x v="2"/>
    <n v="1500000"/>
    <n v="0"/>
    <n v="0"/>
    <n v="1500000"/>
    <n v="0"/>
    <n v="19900000"/>
    <n v="2300000"/>
    <m/>
  </r>
  <r>
    <s v="FE-2018-2019-0033"/>
    <s v="2019-000348"/>
    <x v="22"/>
    <d v="2019-03-14T00:00:00"/>
    <s v="13/3/2024"/>
    <s v="INCENT FEDE"/>
    <s v="Contract"/>
    <s v="A0506"/>
    <s v="ABBVIE LTD."/>
    <s v="A0506 - ABBVIE LTD."/>
    <s v="BARCELONETA"/>
    <s v="Farmaceútica"/>
    <x v="2"/>
    <n v="10000000"/>
    <n v="0"/>
    <n v="5400000"/>
    <n v="4600000"/>
    <n v="0"/>
    <n v="283000000"/>
    <n v="87030000"/>
    <m/>
  </r>
  <r>
    <s v="FIE-2018-2019-IIP-0047"/>
    <s v="2019-000475"/>
    <x v="23"/>
    <d v="2019-06-03T00:00:00"/>
    <s v=""/>
    <s v="INCENT ESP"/>
    <s v="Contract"/>
    <s v="A0604"/>
    <s v="AC CULINARY GROUP LLC"/>
    <s v="A0604 - AC CULINARY GROUP LLC"/>
    <s v="BAYAMON"/>
    <s v="Alimentos"/>
    <x v="5"/>
    <n v="48000"/>
    <n v="0"/>
    <n v="0"/>
    <n v="48000"/>
    <n v="16"/>
    <n v="241300"/>
    <n v="398306"/>
    <m/>
  </r>
  <r>
    <s v="FIE-2018-2019-IIP-0011"/>
    <s v="2019-000450"/>
    <x v="2"/>
    <d v="2019-05-21T00:00:00"/>
    <s v=""/>
    <s v="INCENT ESP"/>
    <s v="Contract"/>
    <s v="A2327"/>
    <s v="ACE CONSTRUCTION SUPPLIES, INC."/>
    <s v="A2327 - ACE CONSTRUCTION SUPPLIES, INC."/>
    <s v="SAN JUAN"/>
    <s v="Manufactura"/>
    <x v="5"/>
    <n v="16800"/>
    <n v="0"/>
    <n v="1966.4"/>
    <n v="14833.6"/>
    <n v="0"/>
    <s v=""/>
    <s v=""/>
    <m/>
  </r>
  <r>
    <s v="FIE-2018-2019-IIP-0013"/>
    <s v="2019-000267"/>
    <x v="2"/>
    <d v="2019-02-05T00:00:00"/>
    <s v=""/>
    <s v="INCENT ESP"/>
    <s v="Contract"/>
    <s v="A0591"/>
    <s v="ACEVEDO MENDEZ, RUBEN"/>
    <s v="A0591 - ACEVEDO MENDEZ, RUBEN"/>
    <s v="SAN JUAN"/>
    <s v="Programa Artesanía"/>
    <x v="4"/>
    <n v="769.38"/>
    <n v="57.25"/>
    <n v="712.13"/>
    <n v="0"/>
    <n v="0"/>
    <s v=""/>
    <s v=""/>
    <m/>
  </r>
  <r>
    <s v="FIE-2016-2017-IIP-0005"/>
    <s v="2018-000010"/>
    <x v="6"/>
    <d v="2017-07-11T00:00:00"/>
    <s v=""/>
    <s v="INCENT ESP"/>
    <s v="Contract"/>
    <s v="A0544"/>
    <s v="ACEVEDO RIOS, OMAYRA "/>
    <s v="A0544 - ACEVEDO RIOS, OMAYRA "/>
    <s v="SAN JUAN"/>
    <s v="Programa Artesanía"/>
    <x v="4"/>
    <n v="998.55"/>
    <n v="998.55"/>
    <n v="0"/>
    <n v="0"/>
    <n v="0"/>
    <s v=""/>
    <s v=""/>
    <m/>
  </r>
  <r>
    <s v="FIE-2017-2018-IIP-0008"/>
    <s v="2019-000117"/>
    <x v="24"/>
    <d v="2018-09-13T00:00:00"/>
    <s v=""/>
    <s v="INCENT ESP"/>
    <s v="Contract"/>
    <s v="A0586"/>
    <s v="ACRECENT FINANCIAL CORP."/>
    <s v="A0586 - ACRECENT FINANCIAL CORP."/>
    <s v="SAN JUAN"/>
    <s v="Servicios"/>
    <x v="0"/>
    <n v="36000"/>
    <n v="0"/>
    <n v="11070"/>
    <n v="24930"/>
    <n v="0"/>
    <s v=""/>
    <s v=""/>
    <m/>
  </r>
  <r>
    <s v="FIE60-2020-2021-0002"/>
    <s v="En Proceso"/>
    <x v="25"/>
    <s v="En Proceso"/>
    <s v=""/>
    <s v="INCENT LEY 60"/>
    <s v="Assignment"/>
    <m/>
    <s v="AEROSPACEFY LLC"/>
    <s v="AEROSPACEFY LLC"/>
    <s v="SAN JUAN"/>
    <s v="Manufacturing of satellites and drones"/>
    <x v="8"/>
    <n v="245000"/>
    <n v="0"/>
    <n v="0"/>
    <n v="245000"/>
    <n v="49"/>
    <m/>
    <n v="2560000"/>
    <n v="0.96"/>
  </r>
  <r>
    <s v="FIE60-2020-2021-0003"/>
    <s v="En Proceso"/>
    <x v="25"/>
    <s v="En Proceso"/>
    <s v=""/>
    <s v="INCENT LEY 60"/>
    <s v="Assignment"/>
    <m/>
    <s v="AEROSPACEFY LLC"/>
    <s v="AEROSPACEFY LLC"/>
    <s v="SAN JUAN"/>
    <s v="Manufacturing of satellites and drones"/>
    <x v="9"/>
    <n v="200000"/>
    <n v="0"/>
    <n v="0"/>
    <n v="200000"/>
    <n v="0"/>
    <n v="585000"/>
    <m/>
    <n v="0.96"/>
  </r>
  <r>
    <s v="FIE-2018-2019-IIP-0022"/>
    <s v="2020-000201"/>
    <x v="26"/>
    <d v="2020-01-02T00:00:00"/>
    <s v=""/>
    <s v="INCENT ESP"/>
    <s v="Contract"/>
    <s v="A2350"/>
    <s v="AFA PLASTICS CORP."/>
    <s v="A2350 - AFA PLASTICS CORP."/>
    <s v="AGUADILLA"/>
    <s v="MOLDEO DE PIEZAS PLASTICAS                                                      "/>
    <x v="5"/>
    <n v="38000"/>
    <n v="0"/>
    <n v="0"/>
    <n v="38000"/>
    <n v="5"/>
    <n v="547577"/>
    <n v="50000"/>
    <m/>
  </r>
  <r>
    <s v="FIE-2018-2019-IIP-0025"/>
    <s v="2019-000340-A"/>
    <x v="27"/>
    <d v="2019-06-07T00:00:00"/>
    <s v=""/>
    <s v="INCENT ESP"/>
    <s v="Contract"/>
    <s v="A2510"/>
    <s v="AG GROUP, INC."/>
    <s v="A2510 - AG GROUP, INC."/>
    <s v="SAN JUAN"/>
    <s v="Electric Panels"/>
    <x v="5"/>
    <n v="100000"/>
    <n v="0"/>
    <n v="0"/>
    <n v="100000"/>
    <n v="23"/>
    <m/>
    <n v="478000"/>
    <m/>
  </r>
  <r>
    <s v="FIE-2018-2019-IIP-0027"/>
    <s v="2019-000341-A"/>
    <x v="27"/>
    <d v="2019-06-07T00:00:00"/>
    <s v=""/>
    <s v="INCENT ESP"/>
    <s v="Contract"/>
    <s v="A2510"/>
    <s v="AG GROUP, INC."/>
    <s v="A2510 - AG GROUP, INC."/>
    <s v="BAYAMON"/>
    <s v="Electric Panels"/>
    <x v="1"/>
    <n v="100000"/>
    <n v="0"/>
    <n v="0"/>
    <n v="100000"/>
    <m/>
    <n v="271000"/>
    <m/>
    <m/>
  </r>
  <r>
    <s v="FIE-2018-2019-IIP-0026"/>
    <s v="2019-000342-A"/>
    <x v="27"/>
    <d v="2019-03-07T00:00:00"/>
    <s v=""/>
    <s v="INCENT ESP"/>
    <s v="Contract"/>
    <s v="A2510"/>
    <s v="AG GROUP, INC."/>
    <s v="A2510 - AG GROUP, INC."/>
    <s v="BAYAMON"/>
    <s v="Electric Panels"/>
    <x v="1"/>
    <n v="49000"/>
    <n v="0"/>
    <n v="0"/>
    <n v="49000"/>
    <n v="0"/>
    <n v="49000"/>
    <m/>
    <m/>
  </r>
  <r>
    <s v="FIE-2019-2020-IIP-0056"/>
    <s v="2020-000353"/>
    <x v="28"/>
    <d v="2020-02-13T00:00:00"/>
    <s v=""/>
    <s v="INCENT ESP"/>
    <s v="Contract"/>
    <s v="A0619"/>
    <s v="AGGREGATE, INC."/>
    <s v="A0619 - AGGREGATE, INC."/>
    <s v="SAN JUAN"/>
    <s v="Arena Manufacturada"/>
    <x v="5"/>
    <n v="20000"/>
    <n v="0"/>
    <n v="0"/>
    <n v="20000"/>
    <n v="10"/>
    <m/>
    <n v="182780"/>
    <m/>
  </r>
  <r>
    <s v="FIE-2019-2020-IIP-0057"/>
    <s v="2020-000358"/>
    <x v="28"/>
    <d v="2020-02-21T00:00:00"/>
    <s v=""/>
    <s v="INCENT ESP"/>
    <s v="Contract"/>
    <s v="A0619"/>
    <s v="AGGREGATE, INC."/>
    <s v="A0619 - AGGREGATE, INC."/>
    <s v="SAN JUAN"/>
    <s v="Arena Manufacturada"/>
    <x v="2"/>
    <n v="200000"/>
    <n v="0"/>
    <n v="180000"/>
    <n v="20000"/>
    <n v="0"/>
    <n v="400000"/>
    <m/>
    <m/>
  </r>
  <r>
    <s v="FE-2019-2020-0088"/>
    <s v="En Proceso"/>
    <x v="29"/>
    <s v="En Proceso"/>
    <s v=""/>
    <s v="INCENT FEDE"/>
    <s v="Assignment"/>
    <m/>
    <s v="AGILE DOCUMENT REVIEW SERIES, LLC"/>
    <s v="AGILE DOCUMENT REVIEW SERIES, LLC"/>
    <s v="SAN JUAN"/>
    <s v="Servicios legales"/>
    <x v="5"/>
    <n v="600000"/>
    <n v="0"/>
    <n v="0"/>
    <n v="600000"/>
    <n v="300"/>
    <m/>
    <n v="9810000"/>
    <m/>
  </r>
  <r>
    <s v="FE-2019-2020-0089"/>
    <s v="En Proceso"/>
    <x v="29"/>
    <s v="En Proceso"/>
    <s v=""/>
    <s v="INCENT FEDE"/>
    <s v="Assignment"/>
    <m/>
    <s v="AGILE DOCUMENT REVIEW SERIES, LLC"/>
    <s v="AGILE DOCUMENT REVIEW SERIES, LLC"/>
    <s v="SAN JUAN"/>
    <s v="Servicios legales"/>
    <x v="2"/>
    <n v="300000"/>
    <n v="0"/>
    <n v="0"/>
    <n v="300000"/>
    <n v="0"/>
    <n v="3150000"/>
    <m/>
    <m/>
  </r>
  <r>
    <s v="FIE-2018-2019-IIP-0036"/>
    <s v="2020-000426"/>
    <x v="22"/>
    <d v="2020-05-29T00:00:00"/>
    <s v=""/>
    <s v="INCENT ESP"/>
    <s v="Contract"/>
    <s v="A0623"/>
    <s v="AGRO EMPRESAS BLACK BELT CORP."/>
    <s v="A0623 - AGRO EMPRESAS BLACK BELT CORP."/>
    <s v="SAN JUAN"/>
    <s v="Alimentos"/>
    <x v="10"/>
    <n v="220539"/>
    <n v="0"/>
    <n v="0"/>
    <n v="220539"/>
    <n v="0"/>
    <n v="170080"/>
    <n v="240120"/>
    <m/>
  </r>
  <r>
    <s v="FIE-2017-2018-IIP-0102"/>
    <s v="2018-000249"/>
    <x v="30"/>
    <d v="2017-12-29T00:00:00"/>
    <s v=""/>
    <s v="INCENT ESP"/>
    <s v="Contract"/>
    <s v="A0562"/>
    <s v="AGROPEK LLC"/>
    <s v="A0562 - AGROPEK LLC"/>
    <s v="SAN JUAN"/>
    <s v="Incentivo de Emergencias Huracanes - Generadores"/>
    <x v="3"/>
    <n v="9097"/>
    <n v="0"/>
    <n v="9097"/>
    <n v="0"/>
    <n v="0"/>
    <s v=""/>
    <s v=""/>
    <m/>
  </r>
  <r>
    <s v="FIE-2018-2019-IIP-0036"/>
    <s v="2020-000366"/>
    <x v="22"/>
    <d v="2020-02-20T00:00:00"/>
    <s v=""/>
    <s v="INCENT ESP"/>
    <s v="Contract"/>
    <s v="A0562"/>
    <s v="AGROPEK LLC"/>
    <s v="A0562 - AGROPEK LLC"/>
    <s v="SAN JUAN"/>
    <s v="Alimentos"/>
    <x v="10"/>
    <n v="88907"/>
    <n v="0"/>
    <n v="31664.25"/>
    <n v="57242.75"/>
    <n v="0"/>
    <n v="118500"/>
    <n v="45298"/>
    <m/>
  </r>
  <r>
    <s v="FIE-2018-2019-IIP-0036"/>
    <s v="2020-000363"/>
    <x v="22"/>
    <d v="2020-02-21T00:00:00"/>
    <s v=""/>
    <s v="INCENT ESP"/>
    <s v="Contract"/>
    <s v="A0620"/>
    <s v="AGROPRODUCTOS DEL TURABO, CRL"/>
    <s v="A0620 - AGROPRODUCTOS DEL TURABO, CRL"/>
    <s v="CAGUAS"/>
    <s v="Alimentos"/>
    <x v="10"/>
    <n v="258492"/>
    <n v="0"/>
    <n v="49959.54"/>
    <n v="208532.46"/>
    <n v="0"/>
    <s v=""/>
    <s v=""/>
    <m/>
  </r>
  <r>
    <s v="FIE60-2020-2021-0084"/>
    <s v="En Proceso"/>
    <x v="31"/>
    <s v="En Proceso"/>
    <s v=""/>
    <s v="INCENT LEY 60"/>
    <s v="Assignment"/>
    <m/>
    <s v="AGUADILLA PIER CORP."/>
    <s v="AGUADILLA PIER CORP."/>
    <s v="AGUADILLA"/>
    <s v="Receive, storage and distribution of fuel"/>
    <x v="8"/>
    <n v="66000"/>
    <n v="0"/>
    <n v="0"/>
    <n v="66000"/>
    <n v="33"/>
    <s v=""/>
    <n v="748866"/>
    <n v="0.94"/>
  </r>
  <r>
    <s v="FIE60-2020-2021-0086"/>
    <s v="En Proceso"/>
    <x v="31"/>
    <s v="En Proceso"/>
    <s v=""/>
    <s v="INCENT LEY 60"/>
    <s v="Assignment"/>
    <m/>
    <s v="AGUADILLA PIER CORP."/>
    <s v="AGUADILLA PIER CORP."/>
    <s v="AGUADILLA"/>
    <s v="Receive, storage and distribution of fuel"/>
    <x v="11"/>
    <n v="2360000"/>
    <n v="0"/>
    <n v="0"/>
    <n v="2360000"/>
    <n v="0"/>
    <s v=""/>
    <s v=""/>
    <n v="0.94"/>
  </r>
  <r>
    <s v="FIE60-2020-2021-0085"/>
    <s v="En Proceso"/>
    <x v="31"/>
    <s v="En Proceso"/>
    <s v=""/>
    <s v="INCENT LEY 60"/>
    <s v="Assignment"/>
    <m/>
    <s v="AGUADILLA PIER CORP."/>
    <s v="AGUADILLA PIER CORP."/>
    <s v="AGUADILLA"/>
    <s v="Receive, storage and distribution of fuel"/>
    <x v="9"/>
    <n v="583750"/>
    <n v="0"/>
    <n v="0"/>
    <n v="583750"/>
    <n v="0"/>
    <n v="5887500"/>
    <s v=""/>
    <n v="0.94"/>
  </r>
  <r>
    <s v="FIE-2017-2018-IIP-0009"/>
    <s v="2019-000116"/>
    <x v="24"/>
    <d v="2018-09-13T00:00:00"/>
    <s v=""/>
    <s v="INCENT ESP"/>
    <s v="Contract"/>
    <s v="A1820"/>
    <s v="AGUAYOS SHEET METAL MFG, INC."/>
    <s v="A1820 - AGUAYOS SHEET METAL MFG, INC."/>
    <s v="SAN JUAN"/>
    <s v="Manufactura"/>
    <x v="12"/>
    <n v="28000"/>
    <n v="0"/>
    <n v="14099.78"/>
    <n v="13900.22"/>
    <n v="0"/>
    <s v=""/>
    <s v=""/>
    <m/>
  </r>
  <r>
    <s v="FE-2018-2019-0050"/>
    <s v="2020-000044"/>
    <x v="32"/>
    <d v="2019-07-19T00:00:00"/>
    <s v="18/1/2025"/>
    <s v="INCENT FEDE"/>
    <s v="Contract"/>
    <s v="A0608"/>
    <s v="AIAC INTERNATIONAL PHARMA, LLC"/>
    <s v="A0608 - AIAC INTERNATIONAL PHARMA, LLC"/>
    <s v="ARECIBO"/>
    <s v="Manufactura de drogas y preparaciones farmacéuticas "/>
    <x v="5"/>
    <n v="1239000"/>
    <n v="0"/>
    <n v="0"/>
    <n v="1239000"/>
    <n v="160"/>
    <m/>
    <n v="9538000"/>
    <m/>
  </r>
  <r>
    <s v="FE-2018-2019-0051"/>
    <s v="2020-000045"/>
    <x v="32"/>
    <d v="2019-07-19T00:00:00"/>
    <s v="18/7/2024"/>
    <s v="INCENT FEDE"/>
    <s v="Contract"/>
    <s v="A0608"/>
    <s v="AIAC INTERNATIONAL PHARMA, LLC"/>
    <s v="A0608 - AIAC INTERNATIONAL PHARMA, LLC"/>
    <s v="ARECIBO"/>
    <s v="Manufactura de drogas y preparaciones farmacéuticas "/>
    <x v="2"/>
    <n v="3000000"/>
    <n v="0"/>
    <n v="1563151"/>
    <n v="1436849"/>
    <n v="0"/>
    <n v="9621537"/>
    <m/>
    <m/>
  </r>
  <r>
    <s v="FE-2017-2018-0034"/>
    <s v="2019-000092"/>
    <x v="33"/>
    <d v="2018-08-29T00:00:00"/>
    <s v="28/8/2023"/>
    <s v="INCENT FEDE"/>
    <s v="Contract"/>
    <s v="A0511"/>
    <s v="AIR MASTER AWNING, LLC"/>
    <s v="A0511 - AIR MASTER AWNING, LLC"/>
    <s v="BARCELONETA"/>
    <s v="Puertas y Ventanas"/>
    <x v="5"/>
    <n v="1000000"/>
    <n v="0"/>
    <n v="731000"/>
    <n v="269000"/>
    <n v="550"/>
    <m/>
    <n v="10874070"/>
    <m/>
  </r>
  <r>
    <s v="FE-2017-2018-0035"/>
    <s v="2019-000093"/>
    <x v="33"/>
    <d v="2018-08-29T00:00:00"/>
    <s v="28/8/2020"/>
    <s v="INCENT FEDE"/>
    <s v="Contract"/>
    <s v="A0511"/>
    <s v="AIR MASTER AWNING, LLC"/>
    <s v="A0511 - AIR MASTER AWNING, LLC"/>
    <s v="BARCELONETA"/>
    <s v="Puertas y Ventanas"/>
    <x v="2"/>
    <n v="1500000"/>
    <n v="0"/>
    <n v="0"/>
    <n v="1500000"/>
    <n v="0"/>
    <n v="20174460"/>
    <m/>
    <m/>
  </r>
  <r>
    <s v="FIE-2017-2018-IIP-0005"/>
    <s v="2018-000116"/>
    <x v="24"/>
    <d v="2017-10-26T00:00:00"/>
    <s v=""/>
    <s v="INCENT ESP"/>
    <s v="Contract"/>
    <s v="A0169"/>
    <s v="AJINEET Z. GARRATEGUI GONZALEZ"/>
    <s v="A0169 - AJINEET Z. GARRATEGUI GONZALEZ"/>
    <s v="SAN JUAN"/>
    <s v="Programa Artesanía"/>
    <x v="4"/>
    <n v="1000"/>
    <n v="0"/>
    <n v="1000"/>
    <n v="0"/>
    <n v="0"/>
    <s v=""/>
    <s v=""/>
    <m/>
  </r>
  <r>
    <s v="FIE-2018-2019-IIP-0049"/>
    <s v="En Proceso"/>
    <x v="34"/>
    <s v="En Proceso"/>
    <s v=""/>
    <s v="INCENT ESP"/>
    <s v="Assignment"/>
    <m/>
    <s v="ALCOR FOODS, INC."/>
    <s v="ALCOR FOODS, INC."/>
    <s v="SAN JUAN"/>
    <s v="ELABORACION DE EMBUTIDOS Y PRODUCTOS CARNICOS"/>
    <x v="5"/>
    <n v="5000"/>
    <n v="0"/>
    <n v="0"/>
    <n v="5000"/>
    <n v="10"/>
    <m/>
    <n v="150800"/>
    <m/>
  </r>
  <r>
    <s v="FIE-2018-2019-IIP-0050"/>
    <s v="En Proceso"/>
    <x v="34"/>
    <s v="En Proceso"/>
    <s v=""/>
    <s v="INCENT ESP"/>
    <s v="Assignment"/>
    <m/>
    <s v="ALCOR FOODS, INC."/>
    <s v="ALCOR FOODS, INC."/>
    <s v="SAN JUAN"/>
    <s v="ELABORACION DE EMBUTIDOS Y PRODUCTOS CARNICOS"/>
    <x v="2"/>
    <n v="46290"/>
    <n v="0"/>
    <n v="0"/>
    <n v="46290"/>
    <n v="0"/>
    <n v="92580"/>
    <m/>
    <m/>
  </r>
  <r>
    <s v="FIE-2017-2018-IIP-0055"/>
    <s v="2018-000241"/>
    <x v="35"/>
    <d v="2017-12-22T00:00:00"/>
    <s v=""/>
    <s v="INCENT ESP"/>
    <s v="Contract"/>
    <s v="A0563"/>
    <s v="ALCOR SIGN &amp; PRINT LLC"/>
    <s v="A0563 - ALCOR SIGN &amp; PRINT LLC"/>
    <s v="SAN JUAN"/>
    <s v="Incentivo de Emergencias Huracanes - Generadores"/>
    <x v="3"/>
    <n v="18535.310000000001"/>
    <n v="18535.310000000001"/>
    <n v="0"/>
    <n v="0"/>
    <n v="0"/>
    <s v=""/>
    <s v=""/>
    <m/>
  </r>
  <r>
    <s v="FIE-2017-2018-IIP-0134"/>
    <s v="2019-000208"/>
    <x v="36"/>
    <d v="2018-12-04T00:00:00"/>
    <s v=""/>
    <s v="INCENT ESP"/>
    <s v="Contract"/>
    <s v="A0563"/>
    <s v="ALCOR SIGN &amp; PRINT LLC"/>
    <s v="A0563 - ALCOR SIGN &amp; PRINT LLC"/>
    <s v="SAN JUAN"/>
    <s v="Manufactura de Rotulos"/>
    <x v="5"/>
    <n v="28600"/>
    <n v="0"/>
    <n v="13000"/>
    <n v="15600"/>
    <n v="22"/>
    <n v="27030"/>
    <n v="331760"/>
    <m/>
  </r>
  <r>
    <s v="FIE-2018-2019-IIP-0012"/>
    <s v="2019-000177"/>
    <x v="2"/>
    <d v="2018-10-24T00:00:00"/>
    <s v=""/>
    <s v="INCENT ESP"/>
    <s v="Contract"/>
    <s v="A4126"/>
    <s v="ALEX RIOS FERNANDEZ"/>
    <s v="A4126 - ALEX RIOS FERNANDEZ"/>
    <s v="SAN JUAN"/>
    <s v="Programa Artesanía"/>
    <x v="4"/>
    <n v="3395"/>
    <n v="0"/>
    <n v="2217.7800000000002"/>
    <n v="1177.2199999999998"/>
    <n v="0"/>
    <s v=""/>
    <s v=""/>
    <m/>
  </r>
  <r>
    <s v="FIE-2017-2018-IIP-0086"/>
    <s v="En Proceso"/>
    <x v="37"/>
    <s v="En Proceso"/>
    <s v=""/>
    <s v="INCENT ESP"/>
    <s v="Assignment"/>
    <m/>
    <s v="ALL ALUMINUM MANUFACTURING INC."/>
    <s v="ALL ALUMINUM MANUFACTURING INC."/>
    <s v="SAN JUAN"/>
    <s v="Manufactura de Puertas y Ventanas de Aluminio"/>
    <x v="5"/>
    <n v="14400"/>
    <n v="0"/>
    <n v="0"/>
    <n v="14400"/>
    <n v="16"/>
    <n v="45945"/>
    <n v="361920"/>
    <m/>
  </r>
  <r>
    <s v="FE-2018-2019-0047"/>
    <s v="2019-000274"/>
    <x v="38"/>
    <d v="2019-02-12T00:00:00"/>
    <d v="2025-11-02T00:00:00"/>
    <s v="INCENT FEDE"/>
    <s v="Contract"/>
    <s v="A0542"/>
    <s v="ALUMINIOS DE PUERTO RICO LLC"/>
    <s v="A0542 - ALUMINIOS DE PUERTO RICO LLC"/>
    <s v="HUMACAO"/>
    <s v="EXPORTACION DE EXTRUSIONES DE ALUMINIIO"/>
    <x v="5"/>
    <n v="115000"/>
    <n v="0"/>
    <n v="7000"/>
    <n v="108000"/>
    <n v="115"/>
    <m/>
    <n v="2575000"/>
    <m/>
  </r>
  <r>
    <s v="FE-2018-2019-0048"/>
    <s v="2019-000273-A"/>
    <x v="38"/>
    <d v="2020-06-24T00:00:00"/>
    <d v="2024-11-02T00:00:00"/>
    <s v="INCENT FEDE"/>
    <s v="Contract"/>
    <s v="A0542"/>
    <s v="ALUMINIOS DE PUERTO RICO LLC"/>
    <s v="A0542 - ALUMINIOS DE PUERTO RICO LLC"/>
    <s v="HUMACAO"/>
    <s v="EXPORTACION DE EXTRUSIONES DE ALUMINIIO"/>
    <x v="2"/>
    <n v="875000"/>
    <n v="0"/>
    <n v="875000"/>
    <n v="0"/>
    <n v="0"/>
    <n v="1200000"/>
    <m/>
    <m/>
  </r>
  <r>
    <s v="FIE60-2020-2021-0030"/>
    <s v="En Proceso"/>
    <x v="39"/>
    <s v="En Proceso"/>
    <s v=""/>
    <s v="INCENT LEY 60"/>
    <s v="Assignment"/>
    <s v="A0542"/>
    <s v="ALUMINIOS DE PUERTO RICO LLC"/>
    <s v="A0542 - ALUMINIOS DE PUERTO RICO LLC"/>
    <s v="HUMACAO"/>
    <s v="EXPORTACION DE EXTRUSIONES DE ALUMINIIO"/>
    <x v="13"/>
    <n v="450000"/>
    <n v="0"/>
    <n v="0"/>
    <n v="450000"/>
    <n v="0"/>
    <s v=""/>
    <s v=""/>
    <n v="8.24"/>
  </r>
  <r>
    <s v="FIE-2016-2017-IIP-0005"/>
    <s v="2017-000372"/>
    <x v="6"/>
    <d v="2017-07-03T00:00:00"/>
    <s v=""/>
    <s v="INCENT ESP"/>
    <s v="Contract"/>
    <s v="A0188"/>
    <s v="ALVARADO FERNANDEZ, GERSON"/>
    <s v="A0188 - ALVARADO FERNANDEZ, GERSON"/>
    <s v="SAN JUAN"/>
    <s v="Programa Artesanía"/>
    <x v="4"/>
    <n v="1000"/>
    <n v="0"/>
    <n v="1000"/>
    <n v="0"/>
    <n v="0"/>
    <s v=""/>
    <s v=""/>
    <m/>
  </r>
  <r>
    <s v="FIE-2019-2020-IIP-0087"/>
    <s v="2021-000134"/>
    <x v="40"/>
    <d v="2020-10-01T00:00:00"/>
    <s v=""/>
    <s v="INCENT ESP"/>
    <s v="Contract"/>
    <s v="A0645"/>
    <s v="AMASAR LLC"/>
    <s v="A0645 - AMASAR LLC"/>
    <s v="SAN JUAN"/>
    <s v="Alimentos"/>
    <x v="5"/>
    <n v="20000"/>
    <n v="0"/>
    <n v="0"/>
    <n v="20000"/>
    <n v="10"/>
    <s v=""/>
    <s v=""/>
    <m/>
  </r>
  <r>
    <s v="FIE-2019-2020-IIP-0088"/>
    <s v="En Proceso"/>
    <x v="40"/>
    <s v="En Proceso"/>
    <s v=""/>
    <s v="INCENT ESP"/>
    <s v="Assignment"/>
    <m/>
    <s v="AMASAR,LLC"/>
    <s v="A0645-AMASAR,LLC"/>
    <s v="JAYUYA"/>
    <s v="MANUFACTURA DE PRODUCTOS DERIVADOS DE LA PANA Y OTRAS VIANDAS"/>
    <x v="2"/>
    <n v="70000"/>
    <n v="0"/>
    <n v="0"/>
    <n v="70000"/>
    <n v="0"/>
    <s v=""/>
    <s v=""/>
    <m/>
  </r>
  <r>
    <s v="FIE-2016-2017-IIP-0004"/>
    <s v="2017-000189"/>
    <x v="6"/>
    <d v="2016-09-22T00:00:00"/>
    <s v=""/>
    <s v="INCENT ESP"/>
    <s v="Contract"/>
    <s v="A5008"/>
    <s v="ANA MARIE TORRES COLON"/>
    <s v="A5008 - ANA MARIE TORRES COLON"/>
    <s v="SAN JUAN"/>
    <s v="Programa Artesanía"/>
    <x v="4"/>
    <n v="1080"/>
    <n v="0"/>
    <n v="1080"/>
    <n v="0"/>
    <n v="0"/>
    <s v=""/>
    <s v=""/>
    <m/>
  </r>
  <r>
    <s v="FIE-2017-2018-IIP-0004"/>
    <s v="2018-000123"/>
    <x v="24"/>
    <d v="2017-10-31T00:00:00"/>
    <s v=""/>
    <s v="INCENT ESP"/>
    <s v="Contract"/>
    <s v="A5008"/>
    <s v="ANA MARIE TORRES COLON"/>
    <s v="A5008 - ANA MARIE TORRES COLON"/>
    <s v="SAN JUAN"/>
    <s v="Programa Artesanía"/>
    <x v="4"/>
    <n v="1080"/>
    <n v="0"/>
    <n v="1080"/>
    <n v="0"/>
    <n v="0"/>
    <s v=""/>
    <s v=""/>
    <m/>
  </r>
  <r>
    <s v="FIE-2018-2019-IIP-0012"/>
    <s v="2019-000124"/>
    <x v="2"/>
    <d v="2018-09-10T00:00:00"/>
    <s v=""/>
    <s v="INCENT ESP"/>
    <s v="Contract"/>
    <s v="A5008"/>
    <s v="ANA MARIE TORRES COLON"/>
    <s v="A5008 - ANA MARIE TORRES COLON"/>
    <s v="SAN JUAN"/>
    <s v="Programa Artesanía"/>
    <x v="4"/>
    <n v="1260"/>
    <n v="0"/>
    <n v="1260"/>
    <n v="0"/>
    <n v="0"/>
    <s v=""/>
    <s v=""/>
    <m/>
  </r>
  <r>
    <s v="FIE-2018-2019-IIP-0020"/>
    <s v="En Proceso"/>
    <x v="41"/>
    <s v="En Proceso"/>
    <s v=""/>
    <s v="INCENT ESP"/>
    <s v="Assignment"/>
    <m/>
    <s v="ANA PÉREZ INC."/>
    <s v="ANA PÉREZ INC."/>
    <s v="CAROLINA"/>
    <s v="Alimentos"/>
    <x v="5"/>
    <n v="5000"/>
    <n v="0"/>
    <n v="0"/>
    <n v="5000"/>
    <n v="10"/>
    <n v="550000"/>
    <n v="200000"/>
    <m/>
  </r>
  <r>
    <s v="FIE-2016-2017-IIP-0005"/>
    <s v="2018-000047"/>
    <x v="6"/>
    <d v="2017-07-26T00:00:00"/>
    <s v=""/>
    <s v="INCENT ESP"/>
    <s v="Contract"/>
    <s v="A0325"/>
    <s v="ANA TORRES MONTALVO"/>
    <s v="A0325 - ANA TORRES MONTALVO"/>
    <s v="SAN JUAN"/>
    <s v="Programa Artesanía"/>
    <x v="4"/>
    <n v="556.99"/>
    <n v="309.99"/>
    <n v="247"/>
    <n v="0"/>
    <n v="0"/>
    <s v=""/>
    <s v=""/>
    <m/>
  </r>
  <r>
    <s v="FIE-2019-2020-IIP-0022"/>
    <s v="2020-000395"/>
    <x v="7"/>
    <d v="2020-03-06T00:00:00"/>
    <s v=""/>
    <s v="INCENT ESP"/>
    <s v="Contract"/>
    <s v="A0325"/>
    <s v="ANA TORRES MONTALVO"/>
    <s v="A0325 - ANA TORRES MONTALVO"/>
    <s v="SAN JUAN"/>
    <s v="Programa Artesanía"/>
    <x v="4"/>
    <n v="683.49"/>
    <n v="0"/>
    <n v="0"/>
    <n v="683.49"/>
    <n v="0"/>
    <s v=""/>
    <s v=""/>
    <m/>
  </r>
  <r>
    <s v="FIE-2018-2019-IIP-0036"/>
    <s v="2020-000314"/>
    <x v="22"/>
    <d v="2020-01-29T00:00:00"/>
    <s v=""/>
    <s v="INCENT ESP"/>
    <s v="Contract"/>
    <s v="A0618"/>
    <s v="ANGEL REYES SERRANO H/N/C "/>
    <s v="A0618 - ANGEL REYES SERRANO H/N/C "/>
    <s v="SAN JUAN"/>
    <s v="Alimentos"/>
    <x v="10"/>
    <n v="94548.72"/>
    <n v="0"/>
    <n v="0"/>
    <n v="94548.72"/>
    <n v="0"/>
    <s v=""/>
    <s v=""/>
    <m/>
  </r>
  <r>
    <s v="FIE-2017-2018-IIP-0071"/>
    <s v="2018-000238"/>
    <x v="42"/>
    <d v="2017-12-22T00:00:00"/>
    <s v=""/>
    <s v="INCENT ESP"/>
    <s v="Contract"/>
    <s v="A0564"/>
    <s v="APIARIOS CARABALLO CORP."/>
    <s v="A0564 - APIARIOS CARABALLO CORP."/>
    <s v="SAN JUAN"/>
    <s v="Incentivo de Emergencias Huracanes - Generadores"/>
    <x v="3"/>
    <n v="16500"/>
    <n v="5000"/>
    <n v="11500"/>
    <n v="0"/>
    <n v="0"/>
    <s v=""/>
    <s v=""/>
    <m/>
  </r>
  <r>
    <s v="FIE-2017-2018-IIP-0004"/>
    <s v="2018-000310"/>
    <x v="24"/>
    <d v="2018-03-08T00:00:00"/>
    <s v=""/>
    <s v="INCENT ESP"/>
    <s v="Contract"/>
    <s v="A0571"/>
    <s v="APONTE ZAYAS, CARMEN R. "/>
    <s v="A0571 - APONTE ZAYAS, CARMEN R. "/>
    <s v="SAN JUAN"/>
    <s v="Programa Artesanía"/>
    <x v="4"/>
    <n v="1260"/>
    <n v="0"/>
    <n v="1260"/>
    <n v="0"/>
    <n v="0"/>
    <s v=""/>
    <s v=""/>
    <m/>
  </r>
  <r>
    <s v="FIE-2018-2019-IIP-0012"/>
    <s v="2019-000122"/>
    <x v="2"/>
    <d v="2018-09-10T00:00:00"/>
    <s v=""/>
    <s v="INCENT ESP"/>
    <s v="Contract"/>
    <s v="A0571"/>
    <s v="APONTE ZAYAS, CARMEN R. "/>
    <s v="A0571 - APONTE ZAYAS, CARMEN R. "/>
    <s v="SAN JUAN"/>
    <s v="Programa Artesanía"/>
    <x v="4"/>
    <n v="1260"/>
    <n v="0"/>
    <n v="1260"/>
    <n v="0"/>
    <n v="0"/>
    <s v=""/>
    <s v=""/>
    <m/>
  </r>
  <r>
    <s v="FIE-2018-2019-IIP-0012"/>
    <s v="2019-000291"/>
    <x v="2"/>
    <d v="2019-02-21T00:00:00"/>
    <s v=""/>
    <s v="INCENT ESP"/>
    <s v="Contract"/>
    <s v="A0571"/>
    <s v="APONTE ZAYAS, CARMEN R. "/>
    <s v="A0571 - APONTE ZAYAS, CARMEN R. "/>
    <s v="SAN JUAN"/>
    <s v="Programa Artesanía"/>
    <x v="4"/>
    <n v="1260"/>
    <n v="0"/>
    <n v="1260"/>
    <n v="0"/>
    <n v="0"/>
    <s v=""/>
    <s v=""/>
    <m/>
  </r>
  <r>
    <s v="FIE-2019-2020-IIP-0023"/>
    <s v="2020-000376"/>
    <x v="7"/>
    <d v="2020-02-27T00:00:00"/>
    <s v=""/>
    <s v="INCENT ESP"/>
    <s v="Contract"/>
    <s v="A0571"/>
    <s v="APONTE ZAYAS, CARMEN R. "/>
    <s v="A0571 - APONTE ZAYAS, CARMEN R. "/>
    <s v="SAN JUAN"/>
    <s v="Programa Artesanía"/>
    <x v="4"/>
    <n v="2000"/>
    <n v="0"/>
    <n v="0"/>
    <n v="2000"/>
    <n v="0"/>
    <s v=""/>
    <s v=""/>
    <m/>
  </r>
  <r>
    <s v="FIE-2016-2017-IIP-0005"/>
    <s v="2017-000321"/>
    <x v="6"/>
    <d v="2017-01-27T00:00:00"/>
    <s v=""/>
    <s v="INCENT ESP"/>
    <s v="Contract"/>
    <s v="A0534"/>
    <s v="ARCE LUCIANO, YESENIA "/>
    <s v="A0534 - ARCE LUCIANO, YESENIA "/>
    <s v="SAN JUAN"/>
    <s v="Programa Artesanía"/>
    <x v="4"/>
    <n v="379.52"/>
    <n v="379.52"/>
    <n v="0"/>
    <n v="0"/>
    <n v="0"/>
    <s v=""/>
    <s v=""/>
    <m/>
  </r>
  <r>
    <s v="FIE-2018-2019-IIP-0030"/>
    <s v="2021-000054"/>
    <x v="20"/>
    <d v="2020-08-13T00:00:00"/>
    <s v=""/>
    <s v="INCENT ESP"/>
    <s v="Contract"/>
    <s v="A0641"/>
    <s v="ASEGURATEC, LLC"/>
    <s v="A0641 - ASEGURATEC, LLC"/>
    <s v="SAN JUAN"/>
    <s v="Tecnología"/>
    <x v="7"/>
    <n v="50000"/>
    <n v="0"/>
    <n v="0"/>
    <n v="50000"/>
    <n v="0"/>
    <s v=""/>
    <s v=""/>
    <m/>
  </r>
  <r>
    <s v="FE-2019-2020-0040"/>
    <s v="2020-000116-A"/>
    <x v="4"/>
    <d v="2020-09-02T00:00:00"/>
    <s v=""/>
    <s v="INCENT FEDE"/>
    <s v="Contract"/>
    <s v="A0537"/>
    <s v="ASOCIACION DE PRODUCTOS DE PUERTO RICO"/>
    <s v="A0537 - ASOCIACION DE PRODUCTOS DE PUERTO RICO"/>
    <s v="SAN JUAN"/>
    <s v="Apoyo a Tienda Hecho en PR, Publicidad y Mercadeo "/>
    <x v="14"/>
    <n v="150000"/>
    <n v="0"/>
    <n v="75000"/>
    <n v="75000"/>
    <n v="0"/>
    <s v=""/>
    <s v=""/>
    <m/>
  </r>
  <r>
    <s v="FIE60-2020-2021-0031"/>
    <s v="2021-000106"/>
    <x v="39"/>
    <d v="2020-09-11T00:00:00"/>
    <d v="2025-09-10T00:00:00"/>
    <s v="INCENT LEY 60"/>
    <s v="Contract"/>
    <s v="A0443"/>
    <s v="ASPEN SURGICAL PUERTO RICO CORP. "/>
    <s v="A0443 - ASPEN SURGICAL PUERTO RICO CORP. "/>
    <s v="LAS PIEDRAS"/>
    <s v="ESCARPELOS Y NAVAJAS QUIRURGICAS"/>
    <x v="8"/>
    <n v="325500"/>
    <n v="0"/>
    <n v="0"/>
    <n v="325500"/>
    <n v="37"/>
    <m/>
    <n v="1152623"/>
    <n v="0.5"/>
  </r>
  <r>
    <s v="FIE60-2020-2021-0032"/>
    <s v="2021-000107"/>
    <x v="39"/>
    <d v="2020-09-11T00:00:00"/>
    <d v="2025-09-10T00:00:00"/>
    <s v="INCENT LEY 60"/>
    <s v="Contract"/>
    <s v="A0443"/>
    <s v="ASPEN SURGICAL PUERTO RICO CORP. "/>
    <s v="A0443 - ASPEN SURGICAL PUERTO RICO CORP. "/>
    <s v="LAS PIEDRAS"/>
    <s v="ESCARPELOS Y NAVAJAS QUIRURGICAS"/>
    <x v="9"/>
    <n v="1500000"/>
    <n v="0"/>
    <n v="0"/>
    <n v="1500000"/>
    <n v="0"/>
    <n v="5870000"/>
    <m/>
    <n v="0.5"/>
  </r>
  <r>
    <s v="FE-2018-2019-0023"/>
    <s v="En Proceso"/>
    <x v="19"/>
    <s v="En Proceso"/>
    <s v=""/>
    <s v="INCENT FEDE"/>
    <s v="Assignment"/>
    <m/>
    <s v="AUTORIDAD DE PUERTOS"/>
    <s v="AUTORIDAD DE PUERTOS"/>
    <s v="SAN JUAN"/>
    <s v="Estudio de Viabilidad (Commercial Spaceport Feasibility Study) "/>
    <x v="15"/>
    <n v="37500"/>
    <n v="0"/>
    <n v="0"/>
    <n v="37500"/>
    <n v="0"/>
    <s v=""/>
    <s v=""/>
    <m/>
  </r>
  <r>
    <s v="FE-2019-2020-0060"/>
    <s v="En Proceso"/>
    <x v="43"/>
    <s v="En Proceso"/>
    <s v=""/>
    <s v="INCENT FEDE"/>
    <s v="Assignment"/>
    <m/>
    <s v="AUTORIDAD PARA EL REDESARROLLO DE ROOSEVELT ROAD"/>
    <s v="AUTORIDAD PARA EL REDESARROLLO DE ROOSEVELT ROAD"/>
    <s v="SAN JUAN"/>
    <s v="Diseño e ingeniería de nuevo parque industrial"/>
    <x v="15"/>
    <n v="532000"/>
    <n v="0"/>
    <n v="0"/>
    <n v="532000"/>
    <n v="0"/>
    <s v=""/>
    <s v=""/>
    <m/>
  </r>
  <r>
    <s v="FIE-2017-2018-IIP-0005"/>
    <s v="2018-000287"/>
    <x v="24"/>
    <d v="2018-02-09T00:00:00"/>
    <s v=""/>
    <s v="INCENT ESP"/>
    <s v="Contract"/>
    <s v="A0110"/>
    <s v="AWILDA RODRIGUEZ HERNANDEZ"/>
    <s v="A0110 - AWILDA RODRIGUEZ HERNANDEZ"/>
    <s v="SAN JUAN"/>
    <s v="Programa Artesanía"/>
    <x v="4"/>
    <n v="1000"/>
    <n v="0"/>
    <n v="1000"/>
    <n v="0"/>
    <n v="0"/>
    <s v=""/>
    <s v=""/>
    <m/>
  </r>
  <r>
    <s v="FIE-2018-2019-IIP-0012"/>
    <s v="2019-000379"/>
    <x v="2"/>
    <d v="2019-03-29T00:00:00"/>
    <s v=""/>
    <s v="INCENT ESP"/>
    <s v="Contract"/>
    <s v="A0599"/>
    <s v="AYALA BORIA, MARIEL"/>
    <s v="A0599 - AYALA BORIA, MARIEL"/>
    <s v="SAN JUAN"/>
    <s v="Programa Artesanía"/>
    <x v="4"/>
    <n v="1050"/>
    <n v="0"/>
    <n v="1050"/>
    <n v="0"/>
    <n v="0"/>
    <s v=""/>
    <s v=""/>
    <m/>
  </r>
  <r>
    <s v="FIE-2016-2017-IIP-0005"/>
    <s v="2017-000473"/>
    <x v="6"/>
    <d v="2017-06-29T00:00:00"/>
    <s v=""/>
    <s v="INCENT ESP"/>
    <s v="Contract"/>
    <s v="A0107"/>
    <s v="AZURE DEE BAEZ MONSANTO"/>
    <s v="A0107 - AZURE DEE BAEZ MONSANTO"/>
    <s v="SAN JUAN"/>
    <s v="Programa Artesanía"/>
    <x v="4"/>
    <n v="249.78"/>
    <n v="44.34"/>
    <n v="205.44"/>
    <n v="0"/>
    <n v="0"/>
    <s v=""/>
    <s v=""/>
    <m/>
  </r>
  <r>
    <s v="FIE-2016-2017-IIP-0036"/>
    <s v="2017-000336"/>
    <x v="0"/>
    <d v="2017-02-08T00:00:00"/>
    <s v=""/>
    <s v="INCENT ESP"/>
    <s v="Contract"/>
    <s v="B0020"/>
    <s v="B &amp; B MANUFACTURING CORP."/>
    <s v="B0020 - B &amp; B MANUFACTURING CORP."/>
    <s v="TOA BAJA"/>
    <s v="Manufactura"/>
    <x v="0"/>
    <n v="50000"/>
    <n v="312.16000000000003"/>
    <n v="49687.839999999997"/>
    <n v="0"/>
    <n v="0"/>
    <s v=""/>
    <s v=""/>
    <m/>
  </r>
  <r>
    <s v="FIE-2018-2019-IIP-0011"/>
    <s v="2019-000500"/>
    <x v="2"/>
    <d v="2019-06-28T00:00:00"/>
    <s v=""/>
    <s v="INCENT ESP"/>
    <s v="Contract"/>
    <s v="B0020"/>
    <s v="B &amp; B MANUFACTURING CORP."/>
    <s v="B0020 - B &amp; B MANUFACTURING CORP."/>
    <s v="TOA BAJA"/>
    <s v="Manufactura"/>
    <x v="12"/>
    <n v="47642.8"/>
    <n v="0"/>
    <n v="0"/>
    <n v="47642.8"/>
    <n v="0"/>
    <s v=""/>
    <s v=""/>
    <m/>
  </r>
  <r>
    <s v="FIE-2016-2017-IEE-0016"/>
    <s v="2016-000582-A"/>
    <x v="44"/>
    <d v="2016-11-30T00:00:00"/>
    <s v=""/>
    <s v="INCENT ESP"/>
    <s v="Contract"/>
    <s v="B0010"/>
    <s v="B. B. BEDDING, INC."/>
    <s v="B0010 - B. B. BEDDING, INC."/>
    <s v="SAN JUAN"/>
    <s v="Mattress &amp; box springs"/>
    <x v="6"/>
    <n v="30983"/>
    <n v="0"/>
    <n v="30983"/>
    <n v="0"/>
    <n v="0"/>
    <s v=""/>
    <s v=""/>
    <m/>
  </r>
  <r>
    <s v="FIE-2016-2017-IEE-0015"/>
    <s v="2016-000582-B"/>
    <x v="44"/>
    <d v="2016-11-30T00:00:00"/>
    <s v=""/>
    <s v="INCENT ESP"/>
    <s v="Contract"/>
    <s v="B0010"/>
    <s v="B. B. BEDDING, INC."/>
    <s v="B0010 - B. B. BEDDING, INC."/>
    <s v="TRUJILLO ALTO"/>
    <s v="Mattress &amp; box springs"/>
    <x v="6"/>
    <n v="24205"/>
    <n v="0"/>
    <n v="24205"/>
    <n v="0"/>
    <n v="0"/>
    <s v=""/>
    <s v=""/>
    <m/>
  </r>
  <r>
    <s v="FIE-2017-2018-IIP-0065"/>
    <s v="2018-000224"/>
    <x v="45"/>
    <d v="2017-12-28T00:00:00"/>
    <s v=""/>
    <s v="INCENT ESP"/>
    <s v="Contract"/>
    <s v="B0010"/>
    <s v="B. B. BEDDING, INC."/>
    <s v="B0010 - B. B. BEDDING, INC."/>
    <s v="SAN JUAN"/>
    <s v="Incentivo de Emergencias Huracanes - Generadores"/>
    <x v="3"/>
    <n v="7465.47"/>
    <n v="0"/>
    <n v="7465.47"/>
    <n v="0"/>
    <n v="0"/>
    <s v=""/>
    <s v=""/>
    <m/>
  </r>
  <r>
    <s v="FIE-2018-2019-IEE-0028"/>
    <s v="2019-000268"/>
    <x v="22"/>
    <d v="2019-02-13T00:00:00"/>
    <s v=""/>
    <s v="INCENT ESP"/>
    <s v="Contract"/>
    <s v="B0010"/>
    <s v="B. B. BEDDING, INC."/>
    <s v="B0010 - B. B. BEDDING, INC."/>
    <s v="SAN JUAN"/>
    <s v="Mattress &amp; box springs"/>
    <x v="6"/>
    <n v="34324"/>
    <n v="0"/>
    <n v="34324"/>
    <n v="0"/>
    <n v="0"/>
    <s v=""/>
    <s v=""/>
    <m/>
  </r>
  <r>
    <s v="FIE-2018-2019-IEE-0063"/>
    <s v="2019-000268-A"/>
    <x v="12"/>
    <d v="2019-04-26T00:00:00"/>
    <s v=""/>
    <s v="INCENT ESP"/>
    <s v="Contract"/>
    <s v="B0010"/>
    <s v="B. B. BEDDING, INC."/>
    <s v="B0010 - B. B. BEDDING, INC."/>
    <s v="SAN JUAN"/>
    <s v="Mattress &amp; box springs"/>
    <x v="6"/>
    <n v="39726"/>
    <n v="0"/>
    <n v="39726"/>
    <n v="0"/>
    <n v="0"/>
    <s v=""/>
    <s v=""/>
    <m/>
  </r>
  <r>
    <s v="FIE-2019-2020-IEE-0047"/>
    <s v="2019-000268-B"/>
    <x v="46"/>
    <d v="2019-11-07T00:00:00"/>
    <s v=""/>
    <s v="INCENT ESP"/>
    <s v="Contract"/>
    <s v="B0010"/>
    <s v="B. B. BEDDING, INC."/>
    <s v="B0010 - B. B. BEDDING, INC."/>
    <s v="SAN JUAN"/>
    <s v="Mattress &amp; box springs"/>
    <x v="6"/>
    <n v="34046"/>
    <n v="0"/>
    <n v="34046"/>
    <n v="0"/>
    <n v="0"/>
    <s v=""/>
    <s v=""/>
    <m/>
  </r>
  <r>
    <s v="FIE-2019-2020-IEE-0046"/>
    <s v="2019-000268-C"/>
    <x v="46"/>
    <d v="2019-11-07T00:00:00"/>
    <s v=""/>
    <s v="INCENT ESP"/>
    <s v="Contract"/>
    <s v="B0010"/>
    <s v="B. B. BEDDING, INC."/>
    <s v="B0010 - B. B. BEDDING, INC."/>
    <s v="SAN JUAN"/>
    <s v="Mattress &amp; box springs"/>
    <x v="6"/>
    <n v="36947"/>
    <n v="0"/>
    <n v="36947"/>
    <n v="0"/>
    <n v="0"/>
    <s v=""/>
    <s v=""/>
    <m/>
  </r>
  <r>
    <s v="FIE-2019-2020-IEE-0128"/>
    <s v="2021-000005"/>
    <x v="47"/>
    <d v="2020-07-10T00:00:00"/>
    <s v=""/>
    <s v="INCENT ESP"/>
    <s v="Contract"/>
    <s v="B0010"/>
    <s v="B. B. BEDDING, INC."/>
    <s v="B0010 - B. B. BEDDING, INC."/>
    <s v="SAN JUAN"/>
    <s v="Mattress &amp; box springs"/>
    <x v="6"/>
    <n v="31861"/>
    <n v="0"/>
    <n v="31861"/>
    <n v="0"/>
    <n v="0"/>
    <s v=""/>
    <s v=""/>
    <m/>
  </r>
  <r>
    <s v="FIE-2019-2020-IEE-0141"/>
    <s v="2021-000005-A"/>
    <x v="47"/>
    <d v="2020-08-19T00:00:00"/>
    <s v=""/>
    <s v="INCENT ESP"/>
    <s v="Contract"/>
    <s v="B0010"/>
    <s v="B. B. BEDDING, INC."/>
    <s v="B0010 - B. B. BEDDING, INC."/>
    <s v="SAN JUAN"/>
    <s v="Mattress &amp; box springs"/>
    <x v="6"/>
    <n v="36198"/>
    <n v="0"/>
    <n v="36198"/>
    <n v="0"/>
    <n v="0"/>
    <s v=""/>
    <s v=""/>
    <m/>
  </r>
  <r>
    <s v="FIE-2019-2020-IEE-0142"/>
    <s v="2021-000005-B"/>
    <x v="47"/>
    <d v="2020-08-19T00:00:00"/>
    <s v=""/>
    <s v="INCENT ESP"/>
    <s v="Contract"/>
    <s v="B0010"/>
    <s v="B. B. BEDDING, INC."/>
    <s v="B0010 - B. B. BEDDING, INC."/>
    <s v="SAN JUAN"/>
    <s v="Mattress &amp; box springs"/>
    <x v="6"/>
    <n v="22027"/>
    <n v="0"/>
    <n v="22027"/>
    <n v="0"/>
    <n v="0"/>
    <s v=""/>
    <s v=""/>
    <m/>
  </r>
  <r>
    <s v="FIE60-2020-2021-0062"/>
    <s v="En Proceso"/>
    <x v="17"/>
    <s v="En Proceso"/>
    <s v=""/>
    <s v="INCENT LEY 60"/>
    <s v="Assignment"/>
    <s v="B0010"/>
    <s v="B.B. BEDDING, INC."/>
    <s v="B0010 - B.B. BEDDING, INC."/>
    <s v="SAN JUAN"/>
    <s v="Muebles"/>
    <x v="6"/>
    <n v="30351"/>
    <n v="0"/>
    <n v="0"/>
    <n v="30351"/>
    <n v="0"/>
    <s v=""/>
    <s v=""/>
    <s v=""/>
  </r>
  <r>
    <s v="FE-2016-2017-0038"/>
    <s v="2018-000059"/>
    <x v="24"/>
    <d v="2017-08-07T00:00:00"/>
    <s v=""/>
    <s v="INCENT FEDE"/>
    <s v="Contract"/>
    <s v="B0254"/>
    <s v="BABSON COLLEGE "/>
    <s v="B0254 - BABSON COLLEGE "/>
    <s v="SAN JUAN"/>
    <s v="Auspicio de actividad para fomentar el empresarismo "/>
    <x v="14"/>
    <n v="34125"/>
    <n v="0"/>
    <n v="34125"/>
    <n v="0"/>
    <n v="0"/>
    <s v=""/>
    <s v=""/>
    <m/>
  </r>
  <r>
    <s v="FE-2018-2019-0005"/>
    <s v="2019-000143"/>
    <x v="48"/>
    <d v="2018-08-06T00:00:00"/>
    <d v="2018-09-08T00:00:00"/>
    <s v="INCENT FEDE"/>
    <s v="Contract"/>
    <s v="B0254"/>
    <s v="BABSON COLLEGE "/>
    <s v="B0254 - BABSON COLLEGE "/>
    <s v="SAN JUAN"/>
    <s v="Auspicio de actividad para fomentar el empresarismo "/>
    <x v="14"/>
    <n v="34125"/>
    <n v="0"/>
    <n v="34125"/>
    <n v="0"/>
    <n v="0"/>
    <s v=""/>
    <s v=""/>
    <m/>
  </r>
  <r>
    <s v="FE-2019-2020-0098"/>
    <s v="2020-000443"/>
    <x v="49"/>
    <d v="2020-06-26T00:00:00"/>
    <s v="30/9/2020"/>
    <s v="INCENT FEDE"/>
    <s v="Contract"/>
    <s v="B0254"/>
    <s v="BABSON COLLEGE "/>
    <s v="B0254 - BABSON COLLEGE "/>
    <s v="SAN JUAN"/>
    <s v="Taller para profesores universitarios "/>
    <x v="14"/>
    <n v="68250"/>
    <n v="0"/>
    <n v="68250"/>
    <n v="0"/>
    <n v="0"/>
    <s v=""/>
    <s v=""/>
    <m/>
  </r>
  <r>
    <s v="FIE-2018-2019-IIP-0048"/>
    <s v="2019-000403"/>
    <x v="34"/>
    <d v="2019-04-17T00:00:00"/>
    <s v=""/>
    <s v="INCENT ESP"/>
    <s v="Contract"/>
    <s v="B0268"/>
    <s v="BALDACCI COFFEE ROASTERS, LLC"/>
    <s v="B0268 - BALDACCI COFFEE ROASTERS, LLC"/>
    <s v="GUAYNABO"/>
    <s v="Incentivo de Emergencias Huracanes - Generadores"/>
    <x v="3"/>
    <n v="35263.800000000003"/>
    <n v="0"/>
    <n v="27037.8"/>
    <n v="8226.0000000000036"/>
    <n v="4"/>
    <n v="74000"/>
    <n v="72800"/>
    <m/>
  </r>
  <r>
    <s v="FIE-2017-2018-IIP-0005"/>
    <s v="2018-000294"/>
    <x v="24"/>
    <d v="2018-02-22T00:00:00"/>
    <s v=""/>
    <s v="INCENT ESP"/>
    <s v="Contract"/>
    <s v="B0256"/>
    <s v="BALLESTE TORRES, SHEILA R. "/>
    <s v="B0256 - BALLESTE TORRES, SHEILA R. "/>
    <s v="SAN JUAN"/>
    <s v="Programa Artesanía"/>
    <x v="4"/>
    <n v="1000"/>
    <n v="0"/>
    <n v="1000"/>
    <n v="0"/>
    <n v="0"/>
    <s v=""/>
    <s v=""/>
    <m/>
  </r>
  <r>
    <s v="FIE-2018-2019-IIP-0012"/>
    <s v="2019-000465"/>
    <x v="2"/>
    <d v="2019-05-29T00:00:00"/>
    <s v=""/>
    <s v="INCENT ESP"/>
    <s v="Contract"/>
    <s v="B0271"/>
    <s v="BARADA AYALA, ROSA A."/>
    <s v="B0271 - BARADA AYALA, ROSA A."/>
    <s v="SAN JUAN"/>
    <s v="Programa Artesanía"/>
    <x v="4"/>
    <n v="320"/>
    <n v="320"/>
    <n v="0"/>
    <n v="0"/>
    <n v="0"/>
    <s v=""/>
    <s v=""/>
    <m/>
  </r>
  <r>
    <s v="FIE-2018-2019-IIP-0012"/>
    <s v="2019-000300"/>
    <x v="2"/>
    <d v="2019-02-21T00:00:00"/>
    <s v=""/>
    <s v="INCENT ESP"/>
    <s v="Contract"/>
    <s v="B0264"/>
    <s v="BARCELO JIMENEZ, SARA"/>
    <s v="B0264 - BARCELO JIMENEZ, SARA"/>
    <s v="SAN JUAN"/>
    <s v="Programa Artesanía"/>
    <x v="4"/>
    <n v="1260"/>
    <n v="0"/>
    <n v="1260"/>
    <n v="0"/>
    <n v="0"/>
    <s v=""/>
    <s v=""/>
    <m/>
  </r>
  <r>
    <s v="FIE-2018-2019-IIP-0012"/>
    <s v="2019-000464"/>
    <x v="2"/>
    <d v="2019-05-29T00:00:00"/>
    <s v=""/>
    <s v="INCENT ESP"/>
    <s v="Contract"/>
    <s v="B0272"/>
    <s v="BATISTA PIZARRO, ZENILDA "/>
    <s v="B0272 - BATISTA PIZARRO, ZENILDA "/>
    <s v="SAN JUAN"/>
    <s v="Programa Artesanía"/>
    <x v="4"/>
    <n v="320"/>
    <n v="0"/>
    <n v="0"/>
    <n v="320"/>
    <n v="0"/>
    <s v=""/>
    <s v=""/>
    <m/>
  </r>
  <r>
    <s v="FE-2019-2020-0101"/>
    <s v="En Proceso"/>
    <x v="50"/>
    <s v="En Proceso"/>
    <s v=""/>
    <s v="INCENT FEDE"/>
    <s v="Assignment"/>
    <m/>
    <s v="BAXTER HEALTHCARE OF PUERTO RICO"/>
    <s v="BAXTER HEALTHCARE OF PUERTO RICO"/>
    <s v="JAYUYA"/>
    <s v="DISPOSITIVOS MEDICOS Y SOLUCIONES INTRAVENOSAS                                  "/>
    <x v="5"/>
    <n v="1738000"/>
    <n v="0"/>
    <n v="0"/>
    <n v="1738000"/>
    <n v="0"/>
    <m/>
    <n v="32200000"/>
    <m/>
  </r>
  <r>
    <s v="FE-2019-2020-0100"/>
    <s v="En Proceso"/>
    <x v="50"/>
    <s v="En Proceso"/>
    <s v=""/>
    <s v="INCENT FEDE"/>
    <s v="Assignment"/>
    <m/>
    <s v="BAXTER HEALTHCARE OF PUERTO RICO"/>
    <s v="BAXTER HEALTHCARE OF PUERTO RICO"/>
    <s v="JAYUYA"/>
    <s v="DISPOSITIVOS MEDICOS Y SOLUCIONES INTRAVENOSAS                                  "/>
    <x v="2"/>
    <n v="6000000"/>
    <n v="0"/>
    <n v="0"/>
    <n v="6000000"/>
    <n v="0"/>
    <n v="48000000"/>
    <m/>
    <m/>
  </r>
  <r>
    <s v="FIE-2018-2019-IIP-0002"/>
    <s v="En Proceso"/>
    <x v="51"/>
    <s v="En Proceso"/>
    <s v=""/>
    <s v="INCENT ESP"/>
    <s v="Assignment"/>
    <m/>
    <s v="BE JUICE PR LLC"/>
    <s v="BE JUICE PR LLC"/>
    <s v="SAN JUAN"/>
    <s v="Manufactura"/>
    <x v="5"/>
    <n v="5000"/>
    <n v="0"/>
    <n v="0"/>
    <n v="5000"/>
    <n v="10"/>
    <m/>
    <n v="150800"/>
    <m/>
  </r>
  <r>
    <s v="FIE-2018-2019-IIP-0001"/>
    <s v="En Proceso"/>
    <x v="51"/>
    <s v="En Proceso"/>
    <s v=""/>
    <s v="INCENT ESP"/>
    <s v="Assignment"/>
    <m/>
    <s v="BE JUICE PR LLC"/>
    <s v="BE JUICE PR LLC"/>
    <s v="SAN JUAN"/>
    <s v="Manufactura"/>
    <x v="2"/>
    <n v="20000"/>
    <n v="0"/>
    <n v="0"/>
    <n v="20000"/>
    <n v="0"/>
    <n v="37000"/>
    <m/>
    <m/>
  </r>
  <r>
    <s v="FIE-2017-2018-IIP-0118"/>
    <s v="2019-000028"/>
    <x v="52"/>
    <d v="2018-07-19T00:00:00"/>
    <s v=""/>
    <s v="INCENT ESP"/>
    <s v="Contract"/>
    <s v="B0257"/>
    <s v="BEACONMD TECHNOLOGIES LLC"/>
    <s v="B0257 - BEACONMD TECHNOLOGIES LLC"/>
    <s v="GUAYNABO"/>
    <s v="Desarrollo de Software "/>
    <x v="5"/>
    <n v="112000"/>
    <n v="0"/>
    <n v="14000"/>
    <n v="98000"/>
    <n v="56"/>
    <n v="500000"/>
    <n v="3360000"/>
    <m/>
  </r>
  <r>
    <s v="FIE-2017-2018-IIP-0008"/>
    <s v="2018-000371"/>
    <x v="24"/>
    <d v="2018-05-21T00:00:00"/>
    <s v=""/>
    <s v="INCENT ESP"/>
    <s v="Contract"/>
    <s v="B2000"/>
    <s v="BEARING BUDDY ,INC."/>
    <s v="B2000 - BEARING BUDDY ,INC."/>
    <s v="SAN JUAN"/>
    <s v="Manufactura"/>
    <x v="0"/>
    <n v="33000"/>
    <n v="0"/>
    <n v="4475.5"/>
    <n v="28524.5"/>
    <n v="0"/>
    <s v=""/>
    <s v=""/>
    <m/>
  </r>
  <r>
    <s v="FIE-2018-2019-IIP-0003"/>
    <s v="2019-000305"/>
    <x v="51"/>
    <d v="2019-02-26T00:00:00"/>
    <s v=""/>
    <s v="INCENT ESP"/>
    <s v="Contract"/>
    <s v="B0245"/>
    <s v="BEARSE TACTICAL SEWING PR LLC"/>
    <s v="B0245 - BEARSE TACTICAL SEWING PR LLC"/>
    <s v="ARECIBO"/>
    <s v="MANUFACTURA DE ROPA MILITAR"/>
    <x v="5"/>
    <n v="40000"/>
    <n v="0"/>
    <n v="40000"/>
    <n v="0"/>
    <n v="50"/>
    <m/>
    <n v="780000"/>
    <m/>
  </r>
  <r>
    <s v="FIE-2018-2019-IIP-0004"/>
    <s v="2019-000306"/>
    <x v="51"/>
    <d v="2019-02-26T00:00:00"/>
    <s v=""/>
    <s v="INCENT ESP"/>
    <s v="Contract"/>
    <s v="B0245"/>
    <s v="BEARSE TACTICAL SEWING PR LLC"/>
    <s v="B0245 - BEARSE TACTICAL SEWING PR LLC"/>
    <s v="ARECIBO"/>
    <s v="MANUFACTURA DE ROPA MILITAR"/>
    <x v="1"/>
    <n v="75000"/>
    <n v="0"/>
    <n v="73800"/>
    <n v="1200"/>
    <n v="0"/>
    <n v="421500"/>
    <m/>
    <m/>
  </r>
  <r>
    <s v="FE-2016-2017-0018"/>
    <s v="2017-000442"/>
    <x v="53"/>
    <d v="2017-05-22T00:00:00"/>
    <s v="21/5/22"/>
    <s v="INCENT FEDE"/>
    <s v="Contract"/>
    <s v="B0030"/>
    <s v="BECTON DICKINSON CARIBE LTD., INC."/>
    <s v="B0030 - BECTON DICKINSON CARIBE LTD., INC."/>
    <s v="JUNCOS"/>
    <s v="AGUJA CON VALVULA Q SE INSERTA EN VENA Y LA MANTIENE ABIERTA PARA PONER SUERO   "/>
    <x v="5"/>
    <n v="35000"/>
    <n v="0"/>
    <n v="0"/>
    <n v="35000"/>
    <n v="10"/>
    <s v=""/>
    <s v=""/>
    <m/>
  </r>
  <r>
    <s v="FE-2016-2017-0019"/>
    <s v="2017-000441"/>
    <x v="53"/>
    <d v="2017-05-22T00:00:00"/>
    <s v="21/5/19"/>
    <s v="INCENT FEDE"/>
    <s v="Contract"/>
    <s v="B0030"/>
    <s v="BECTON DICKINSON CARIBE LTD., INC."/>
    <s v="B0030 - BECTON DICKINSON CARIBE LTD., INC."/>
    <s v="JUNCOS"/>
    <s v="AGUJA CON VALVULA Q SE INSERTA EN VENA Y LA MANTIENE ABIERTA PARA PONER SUERO   "/>
    <x v="1"/>
    <n v="500000"/>
    <n v="0"/>
    <n v="500000"/>
    <n v="0"/>
    <n v="0"/>
    <s v=""/>
    <s v=""/>
    <m/>
  </r>
  <r>
    <s v="FE-2019-2020-0068"/>
    <s v="2021-000009"/>
    <x v="54"/>
    <d v="2020-07-14T00:00:00"/>
    <s v="13/7/2026"/>
    <s v="INCENT FEDE"/>
    <s v="Contract"/>
    <s v="B0030"/>
    <s v="BECTON DICKINSON CARIBE LTD., INC."/>
    <s v="B0030 - BECTON DICKINSON CARIBE LTD., INC."/>
    <s v="JUNCOS"/>
    <s v="AGUJA CON VALVULA Q SE INSERTA EN VENA Y LA MANTIENE ABIERTA PARA PONER SUERO   "/>
    <x v="5"/>
    <n v="15000"/>
    <n v="0"/>
    <n v="0"/>
    <n v="15000"/>
    <n v="5"/>
    <m/>
    <n v="16946000"/>
    <m/>
  </r>
  <r>
    <s v="FE-2019-2020-0067"/>
    <s v="2021-000010"/>
    <x v="54"/>
    <d v="2020-07-14T00:00:00"/>
    <s v="13/7/2026"/>
    <s v="INCENT FEDE"/>
    <s v="Contract"/>
    <s v="B0030"/>
    <s v="BECTON DICKINSON CARIBE LTD., INC."/>
    <s v="B0030 - BECTON DICKINSON CARIBE LTD., INC."/>
    <s v="JUNCOS"/>
    <s v="AGUJA CON VALVULA Q SE INSERTA EN VENA"/>
    <x v="2"/>
    <n v="7000000"/>
    <n v="0"/>
    <n v="0"/>
    <n v="7000000"/>
    <n v="0"/>
    <n v="23012000"/>
    <m/>
    <m/>
  </r>
  <r>
    <s v="FIE-2017-2018-IIP-0008"/>
    <s v="2019-000107"/>
    <x v="24"/>
    <d v="2018-09-06T00:00:00"/>
    <s v=""/>
    <s v="INCENT ESP"/>
    <s v="Contract"/>
    <s v="B2155"/>
    <s v="BENITEZ METAL MFG., CORP."/>
    <s v="B2155 - BENITEZ METAL MFG., CORP."/>
    <s v="SAN JUAN"/>
    <s v="Manufactura"/>
    <x v="0"/>
    <n v="45250"/>
    <n v="0"/>
    <n v="0"/>
    <n v="45250"/>
    <n v="0"/>
    <s v=""/>
    <s v=""/>
    <m/>
  </r>
  <r>
    <s v="FIE-2016-2017-IIP-0005"/>
    <s v="2017-000398"/>
    <x v="6"/>
    <d v="2017-04-04T00:00:00"/>
    <s v=""/>
    <s v="INCENT ESP"/>
    <s v="Contract"/>
    <s v="B0117"/>
    <s v="BERRIOS FERNANDEZ, EDUARDO"/>
    <s v="B0117 - BERRIOS FERNANDEZ, EDUARDO"/>
    <s v="SAN JUAN"/>
    <s v="Programa Artesanía"/>
    <x v="4"/>
    <n v="589.94000000000005"/>
    <n v="144.99"/>
    <n v="444.95"/>
    <n v="0"/>
    <n v="0"/>
    <s v=""/>
    <s v=""/>
    <m/>
  </r>
  <r>
    <s v="FIE-2016-2017-IIP-0056"/>
    <s v="En Proceso"/>
    <x v="55"/>
    <s v="En Proceso"/>
    <s v=""/>
    <s v="INCENT ESP"/>
    <s v="Assignment"/>
    <m/>
    <s v="BEST SEASONING GROUP, INC."/>
    <s v="BEST SEASONING GROUP, INC."/>
    <s v="SAN JUAN"/>
    <s v="Alimentos"/>
    <x v="1"/>
    <n v="16089.13"/>
    <n v="0"/>
    <n v="0"/>
    <n v="16089.13"/>
    <n v="0"/>
    <s v=""/>
    <s v=""/>
    <m/>
  </r>
  <r>
    <s v="FIE60-2020-2021-0070"/>
    <s v="En Proceso"/>
    <x v="31"/>
    <s v="En Proceso"/>
    <s v=""/>
    <s v="INCENT LEY 60"/>
    <s v="Assignment"/>
    <s v="S5545"/>
    <s v="BEST SEASONING GROUP, INC."/>
    <s v="S5545 - BEST SEASONING GROUP, INC."/>
    <s v="JUANA DIAZ"/>
    <s v="Alimentos"/>
    <x v="11"/>
    <n v="23693"/>
    <n v="0"/>
    <n v="0"/>
    <n v="23693"/>
    <n v="0"/>
    <n v="200000"/>
    <n v="76082"/>
    <s v=""/>
  </r>
  <r>
    <s v="FIE-2018-2019-IIP-0030"/>
    <s v="2019-000319"/>
    <x v="20"/>
    <d v="2019-03-01T00:00:00"/>
    <s v=""/>
    <s v="INCENT ESP"/>
    <s v="Contract"/>
    <s v="B0263"/>
    <s v="BETTER IDEAS, LLC "/>
    <s v="B0263 - BETTER IDEAS, LLC "/>
    <s v="SAN JUAN"/>
    <s v="Tecnología"/>
    <x v="7"/>
    <n v="80000"/>
    <n v="0"/>
    <n v="80000"/>
    <n v="0"/>
    <n v="0"/>
    <s v=""/>
    <s v=""/>
    <m/>
  </r>
  <r>
    <s v="FIE-2018-2019-IIP-0011"/>
    <s v="2019-000510"/>
    <x v="2"/>
    <d v="2019-06-28T00:00:00"/>
    <s v=""/>
    <s v="INCENT ESP"/>
    <s v="Contract"/>
    <s v="B0188"/>
    <s v="BETTINA COSMETICS, INC."/>
    <s v="B0188 - BETTINA COSMETICS, INC."/>
    <s v="DORADO"/>
    <s v="Manufactura"/>
    <x v="0"/>
    <n v="20172"/>
    <n v="0"/>
    <n v="0"/>
    <n v="20172"/>
    <n v="0"/>
    <s v=""/>
    <s v=""/>
    <m/>
  </r>
  <r>
    <s v="FIE-2018-2019-IIP-0030"/>
    <s v="2019-000329"/>
    <x v="20"/>
    <d v="2019-03-06T00:00:00"/>
    <s v=""/>
    <s v="INCENT ESP"/>
    <s v="Contract"/>
    <s v="B0265"/>
    <s v="BIDEA, LLC "/>
    <s v="B0265 - BIDEA, LLC "/>
    <s v="SAN JUAN"/>
    <s v="Tecnología"/>
    <x v="7"/>
    <n v="80000"/>
    <n v="0"/>
    <n v="80000"/>
    <n v="0"/>
    <n v="0"/>
    <s v=""/>
    <s v=""/>
    <m/>
  </r>
  <r>
    <s v="FIE-2018-2019-IIP-0017"/>
    <s v="En Proceso"/>
    <x v="56"/>
    <s v="En Proceso"/>
    <s v=""/>
    <s v="INCENT ESP"/>
    <s v="Assignment"/>
    <m/>
    <s v="BIO COLLECT COOKING OIL CORP. "/>
    <s v="BIO COLLECT COOKING OIL CORP. "/>
    <s v="PONCE"/>
    <s v="Reciclaje de aceite"/>
    <x v="5"/>
    <n v="2000"/>
    <n v="0"/>
    <n v="0"/>
    <n v="2000"/>
    <n v="4"/>
    <n v="10000"/>
    <n v="250000"/>
    <m/>
  </r>
  <r>
    <s v="FIE-2016-2017-IEE-0010"/>
    <s v="2016-000623-B"/>
    <x v="57"/>
    <d v="2016-09-06T00:00:00"/>
    <s v=""/>
    <s v="INCENT ESP"/>
    <s v="Contract"/>
    <s v="B4170"/>
    <s v="BLANCO &amp; RIERA, INC."/>
    <s v="B4170 - BLANCO &amp; RIERA, INC."/>
    <s v="SAN JUAN"/>
    <s v="Muebles"/>
    <x v="6"/>
    <n v="4140"/>
    <n v="0"/>
    <n v="4140"/>
    <n v="0"/>
    <n v="0"/>
    <s v=""/>
    <s v=""/>
    <m/>
  </r>
  <r>
    <s v="FIE-2016-2017-IEE-0026"/>
    <s v="2016-000623-C"/>
    <x v="9"/>
    <d v="2016-11-01T00:00:00"/>
    <s v=""/>
    <s v="INCENT ESP"/>
    <s v="Contract"/>
    <s v="B4170"/>
    <s v="BLANCO &amp; RIERA, INC."/>
    <s v="B4170 - BLANCO &amp; RIERA, INC."/>
    <s v="SAN JUAN"/>
    <s v="Muebles"/>
    <x v="6"/>
    <n v="8866"/>
    <n v="0"/>
    <n v="8866"/>
    <n v="0"/>
    <n v="0"/>
    <s v=""/>
    <s v=""/>
    <m/>
  </r>
  <r>
    <s v="FIE-2016-2017-IEE-0046"/>
    <s v="2017-000333"/>
    <x v="10"/>
    <d v="2017-02-06T00:00:00"/>
    <s v=""/>
    <s v="INCENT ESP"/>
    <s v="Contract"/>
    <s v="B4170"/>
    <s v="BLANCO &amp; RIERA, INC."/>
    <s v="B4170 - BLANCO &amp; RIERA, INC."/>
    <s v="SAN JUAN"/>
    <s v="Muebles"/>
    <x v="6"/>
    <n v="22037"/>
    <n v="0"/>
    <n v="22037"/>
    <n v="0"/>
    <n v="0"/>
    <s v=""/>
    <s v=""/>
    <m/>
  </r>
  <r>
    <s v="FIE-2019-2020-IIP-0021"/>
    <s v="2020-000396"/>
    <x v="7"/>
    <d v="2020-03-06T00:00:00"/>
    <s v=""/>
    <s v="INCENT ESP"/>
    <s v="Contract"/>
    <s v="B0277"/>
    <s v="BLUE LAGOON CAFE, INC."/>
    <s v="B0277 - BLUE LAGOON CAFE, INC."/>
    <s v="SAN JUAN"/>
    <s v="Programa Artesanía"/>
    <x v="4"/>
    <n v="5270"/>
    <n v="0"/>
    <n v="0"/>
    <n v="5270"/>
    <n v="0"/>
    <s v=""/>
    <s v=""/>
    <m/>
  </r>
  <r>
    <s v="FE-2018-2019-0007"/>
    <s v="2019-000220"/>
    <x v="2"/>
    <d v="2018-12-13T00:00:00"/>
    <s v="30/6/2019"/>
    <s v="INCENT FEDE"/>
    <s v="Contract"/>
    <s v="B0261"/>
    <s v="BLUHAUS CAPITAL, LLC"/>
    <s v="B0261 - BLUHAUS CAPITAL, LLC"/>
    <s v="SAN JUAN"/>
    <s v="Código de Incentivos"/>
    <x v="16"/>
    <n v="50000"/>
    <n v="68.489999999999995"/>
    <n v="4566.25"/>
    <n v="45365.26"/>
    <n v="0"/>
    <s v=""/>
    <s v=""/>
    <m/>
  </r>
  <r>
    <s v="FE-2018-2019-0103"/>
    <s v="En Proceso"/>
    <x v="58"/>
    <s v="En Proceso"/>
    <s v=""/>
    <s v="INCENT FEDE"/>
    <s v="Assignment"/>
    <m/>
    <s v="BOEHRINGER INGELHEIM ANIMAL HEALTH PUERTO RICO"/>
    <s v="BOEHRINGER INGELHEIM ANIMAL HEALTH PUERTO RICO"/>
    <s v="SAN JUAN"/>
    <s v="Manufactura de Productos Farmacéuticos"/>
    <x v="5"/>
    <n v="963000"/>
    <n v="0"/>
    <n v="0"/>
    <n v="963000"/>
    <n v="105"/>
    <m/>
    <n v="5800000"/>
    <m/>
  </r>
  <r>
    <s v="FE-2018-2019-0104"/>
    <s v="En Proceso"/>
    <x v="58"/>
    <s v="En Proceso"/>
    <s v=""/>
    <s v="INCENT FEDE"/>
    <s v="Assignment"/>
    <m/>
    <s v="BOEHRINGER INGELHEIM ANIMAL HEALTH PUERTO RICO"/>
    <s v="BOEHRINGER INGELHEIM ANIMAL HEALTH PUERTO RICO"/>
    <s v="SAN JUAN"/>
    <s v="Manufactura de Productos Farmacéuticos"/>
    <x v="2"/>
    <n v="8760000"/>
    <n v="0"/>
    <n v="0"/>
    <n v="8760000"/>
    <n v="0"/>
    <n v="17300000"/>
    <m/>
    <m/>
  </r>
  <r>
    <s v="FIE-2016-2017-IIP-0004"/>
    <s v="2017-000186"/>
    <x v="6"/>
    <d v="2016-09-22T00:00:00"/>
    <s v=""/>
    <s v="INCENT ESP"/>
    <s v="Contract"/>
    <s v="B0227"/>
    <s v="BORRERO FRATICELLI, MILAGROS"/>
    <s v="B0227 - BORRERO FRATICELLI, MILAGROS"/>
    <s v="SAN JUAN"/>
    <s v="Programa Artesanía"/>
    <x v="4"/>
    <n v="1080"/>
    <n v="0"/>
    <n v="1080"/>
    <n v="0"/>
    <n v="0"/>
    <s v=""/>
    <s v=""/>
    <m/>
  </r>
  <r>
    <s v="FIE-2016-2017-IIP-0004"/>
    <s v="2017-000356"/>
    <x v="6"/>
    <d v="2017-02-22T00:00:00"/>
    <s v=""/>
    <s v="INCENT ESP"/>
    <s v="Contract"/>
    <s v="B0227"/>
    <s v="BORRERO FRATICELLI, MILAGROS"/>
    <s v="B0227 - BORRERO FRATICELLI, MILAGROS"/>
    <s v="SAN JUAN"/>
    <s v="Programa Artesanía"/>
    <x v="4"/>
    <n v="1080"/>
    <n v="0"/>
    <n v="1080"/>
    <n v="0"/>
    <n v="0"/>
    <s v=""/>
    <s v=""/>
    <m/>
  </r>
  <r>
    <s v="FIE-2017-2018-IIP-0004"/>
    <s v="2018-000121"/>
    <x v="24"/>
    <d v="2017-11-02T00:00:00"/>
    <s v=""/>
    <s v="INCENT ESP"/>
    <s v="Contract"/>
    <s v="B0227"/>
    <s v="BORRERO FRATICELLI, MILAGROS"/>
    <s v="B0227 - BORRERO FRATICELLI, MILAGROS"/>
    <s v="SAN JUAN"/>
    <s v="Programa Artesanía"/>
    <x v="4"/>
    <n v="0"/>
    <n v="0"/>
    <n v="0"/>
    <n v="0"/>
    <n v="0"/>
    <s v=""/>
    <s v=""/>
    <m/>
  </r>
  <r>
    <s v="FIE-2019-2020-IIP-0021"/>
    <s v="2020-000124"/>
    <x v="7"/>
    <d v="2019-08-29T00:00:00"/>
    <s v=""/>
    <s v="INCENT ESP"/>
    <s v="Contract"/>
    <s v="B0227"/>
    <s v="BORRERO FRATICELLI, MILAGROS"/>
    <s v="B0227 - BORRERO FRATICELLI, MILAGROS"/>
    <s v="SAN JUAN"/>
    <s v="Programa Artesanía"/>
    <x v="4"/>
    <n v="1260"/>
    <n v="0"/>
    <n v="1260"/>
    <n v="0"/>
    <n v="0"/>
    <s v=""/>
    <s v=""/>
    <m/>
  </r>
  <r>
    <s v="FIE-2018-2019-IIP-0030"/>
    <s v="2020-000242"/>
    <x v="20"/>
    <d v="2019-11-27T00:00:00"/>
    <s v=""/>
    <s v="INCENT ESP"/>
    <s v="Contract"/>
    <s v="B0274"/>
    <s v="BRAINHI, INC."/>
    <s v="B0274 - BRAINHI, INC."/>
    <s v="SAN JUAN"/>
    <s v="Tecnología"/>
    <x v="7"/>
    <n v="50000"/>
    <n v="0"/>
    <n v="50000"/>
    <n v="0"/>
    <n v="0"/>
    <s v=""/>
    <s v=""/>
    <m/>
  </r>
  <r>
    <s v="FIE-2018-2019-IIP-0013"/>
    <s v="2019-000397"/>
    <x v="2"/>
    <d v="2019-04-10T00:00:00"/>
    <s v=""/>
    <s v="INCENT ESP"/>
    <s v="Contract"/>
    <s v="B0273"/>
    <s v="BRAVO RIVERA, SONIA"/>
    <s v="B0273 - BRAVO RIVERA, SONIA"/>
    <s v="SAN JUAN"/>
    <s v="Programa Artesanía"/>
    <x v="4"/>
    <n v="717.93"/>
    <n v="0"/>
    <n v="318.95"/>
    <n v="398.97999999999996"/>
    <n v="0"/>
    <s v=""/>
    <s v=""/>
    <m/>
  </r>
  <r>
    <s v="FIE-2016-2017-IIP-0004"/>
    <s v="2017-000314"/>
    <x v="6"/>
    <d v="2017-01-12T00:00:00"/>
    <s v=""/>
    <s v="INCENT ESP"/>
    <s v="Contract"/>
    <s v="B0253"/>
    <s v="BRAVO RIVERA, ZULMA "/>
    <s v="B0253 - BRAVO RIVERA, ZULMA "/>
    <s v="SAN JUAN"/>
    <s v="Programa Artesanía"/>
    <x v="4"/>
    <n v="300"/>
    <n v="0"/>
    <n v="300"/>
    <n v="0"/>
    <n v="0"/>
    <s v=""/>
    <s v=""/>
    <m/>
  </r>
  <r>
    <s v="FIE-2018-2019-IIP-0013"/>
    <s v="2019-000395"/>
    <x v="2"/>
    <d v="2019-04-09T00:00:00"/>
    <s v=""/>
    <s v="INCENT ESP"/>
    <s v="Contract"/>
    <s v="B0253"/>
    <s v="BRAVO RIVERA, ZULMA "/>
    <s v="B0253 - BRAVO RIVERA, ZULMA "/>
    <s v="SAN JUAN"/>
    <s v="Programa Artesanía"/>
    <x v="4"/>
    <n v="803.92"/>
    <n v="0"/>
    <n v="0"/>
    <n v="803.92"/>
    <n v="0"/>
    <s v=""/>
    <s v=""/>
    <m/>
  </r>
  <r>
    <s v="FIE-2017-2018-IIP-0140"/>
    <s v="2019-000388"/>
    <x v="59"/>
    <d v="2019-04-01T00:00:00"/>
    <s v=""/>
    <s v="INCENT ESP"/>
    <s v="Contract"/>
    <s v="B0269"/>
    <s v="BUFFALO PRINTING, INC."/>
    <s v="B0269 - BUFFALO PRINTING, INC."/>
    <s v="ISABELA"/>
    <s v="Manufactura de Impresos"/>
    <x v="5"/>
    <n v="14000"/>
    <n v="0"/>
    <n v="9800"/>
    <n v="4200"/>
    <n v="10"/>
    <n v="100000"/>
    <n v="150800"/>
    <m/>
  </r>
  <r>
    <s v="FIE-2018-2019-IIP-0095"/>
    <s v="2020-000352"/>
    <x v="58"/>
    <d v="2020-02-13T00:00:00"/>
    <s v=""/>
    <s v="INCENT ESP"/>
    <s v="Contract"/>
    <s v="B0269"/>
    <s v="BUFFALO PRINTING, INC."/>
    <s v="B0269 - BUFFALO PRINTING, INC."/>
    <s v="ISABELA"/>
    <s v="Manufactura de Impresos"/>
    <x v="2"/>
    <n v="22000"/>
    <n v="0"/>
    <n v="0"/>
    <n v="22000"/>
    <n v="0"/>
    <n v="251192"/>
    <n v="84695"/>
    <m/>
  </r>
  <r>
    <s v="FIE-2017-2018-IIP-0008"/>
    <s v="2019-000042 "/>
    <x v="24"/>
    <d v="2018-07-25T00:00:00"/>
    <s v=""/>
    <s v="INCENT ESP"/>
    <s v="Contract"/>
    <s v="B7095"/>
    <s v="BULL BOND MFG CORP."/>
    <s v="B7095 - BULL BOND MFG CORP."/>
    <s v="CAGUAS"/>
    <s v="PEGAMENTOS, ADHESIVOS Y SELLADORES PARA LA CONSTRUCCION"/>
    <x v="0"/>
    <n v="50000"/>
    <n v="0"/>
    <n v="0"/>
    <n v="50000"/>
    <n v="0"/>
    <s v=""/>
    <s v=""/>
    <m/>
  </r>
  <r>
    <s v="FIE-2017-2018-IIP-0009"/>
    <s v="2019-000043"/>
    <x v="24"/>
    <d v="2018-07-25T00:00:00"/>
    <s v=""/>
    <s v="INCENT ESP"/>
    <s v="Contract"/>
    <s v="B7095"/>
    <s v="BULL BOND MFG CORP."/>
    <s v="B7095 - BULL BOND MFG CORP."/>
    <s v="CAGUAS"/>
    <s v="PEGAMENTOS, ADHESIVOS Y SELLADORES PARA LA CONSTRUCCION"/>
    <x v="12"/>
    <n v="7000"/>
    <n v="0"/>
    <n v="0"/>
    <n v="7000"/>
    <n v="0"/>
    <s v=""/>
    <s v=""/>
    <m/>
  </r>
  <r>
    <s v="FIE-2017-2018-IIP-0023"/>
    <s v="2018-000138"/>
    <x v="60"/>
    <d v="2017-11-16T00:00:00"/>
    <s v=""/>
    <s v="INCENT ESP"/>
    <s v="Contract"/>
    <s v="B7095"/>
    <s v="BULL BOND MFG CORP."/>
    <s v="B7095 - BULL BOND MFG CORP."/>
    <s v="CAGUAS"/>
    <s v="Incentivo de Emergencias Huracanes - Generadores"/>
    <x v="3"/>
    <n v="25000"/>
    <n v="0"/>
    <n v="25000"/>
    <n v="0"/>
    <n v="0"/>
    <s v=""/>
    <s v=""/>
    <m/>
  </r>
  <r>
    <s v="FIE-2016-2017-IIP-0005"/>
    <s v="2017-000326"/>
    <x v="6"/>
    <d v="2017-02-01T00:00:00"/>
    <s v=""/>
    <s v="INCENT ESP"/>
    <s v="Contract"/>
    <s v="B0052"/>
    <s v="BURGOS ORTIZ, BESSEMER"/>
    <s v="B0052 - BURGOS ORTIZ, BESSEMER"/>
    <s v="SAN JUAN"/>
    <s v="Programa Artesanía"/>
    <x v="4"/>
    <n v="995.95"/>
    <n v="0.93"/>
    <n v="995.02"/>
    <n v="0"/>
    <n v="0"/>
    <s v=""/>
    <s v=""/>
    <m/>
  </r>
  <r>
    <s v="FIE60-2020-2021-0071"/>
    <s v="En Proceso"/>
    <x v="31"/>
    <s v="En Proceso"/>
    <s v=""/>
    <s v="INCENT LEY 60"/>
    <s v="Assignment"/>
    <m/>
    <s v="C3 MARKETING LLC"/>
    <s v="C3 MARKETING LLC"/>
    <s v="SAN JUAN"/>
    <s v="Marketing of products and  services using digital technologies on the Internet"/>
    <x v="8"/>
    <n v="63000"/>
    <n v="0"/>
    <n v="0"/>
    <n v="63000"/>
    <n v="18"/>
    <s v=""/>
    <n v="360000"/>
    <n v="0.61"/>
  </r>
  <r>
    <s v="FIE60-2020-2021-0072"/>
    <s v="En Proceso"/>
    <x v="31"/>
    <s v="En Proceso"/>
    <s v=""/>
    <s v="INCENT LEY 60"/>
    <s v="Assignment"/>
    <m/>
    <s v="C3 MARKETING LLC"/>
    <s v="C3 MARKETING LLC"/>
    <s v="SAN JUAN"/>
    <s v="Marketing of products and  services using digital technologies on the Internet"/>
    <x v="11"/>
    <n v="50000"/>
    <n v="0"/>
    <n v="0"/>
    <n v="50000"/>
    <n v="0"/>
    <n v="51000"/>
    <s v=""/>
    <n v="0.61"/>
  </r>
  <r>
    <s v="FIE-2017-2018-IIP-0044"/>
    <s v="2018-000237"/>
    <x v="61"/>
    <d v="2017-12-22T00:00:00"/>
    <s v=""/>
    <s v="INCENT ESP"/>
    <s v="Contract"/>
    <s v="C0730"/>
    <s v="CAFE LEALTAD, INC."/>
    <s v="C0730 - CAFE LEALTAD, INC."/>
    <s v="LARES"/>
    <s v="Alimentos"/>
    <x v="10"/>
    <n v="25000"/>
    <n v="25000"/>
    <n v="0"/>
    <n v="0"/>
    <n v="0"/>
    <s v=""/>
    <s v=""/>
    <m/>
  </r>
  <r>
    <s v="FIE60-2020-2021-0004"/>
    <s v="2021-000067"/>
    <x v="25"/>
    <d v="2020-08-20T00:00:00"/>
    <d v="2025-08-19T00:00:00"/>
    <s v="INCENT LEY 60"/>
    <s v="Contract"/>
    <s v="C0887"/>
    <s v="CAFE ORO DE PUERTO RICO, INC."/>
    <s v="C0887 - CAFE ORO DE PUERTO RICO, INC."/>
    <s v="LARES"/>
    <s v="COFFE MANUFACTURING"/>
    <x v="8"/>
    <n v="54400"/>
    <n v="0"/>
    <n v="0"/>
    <n v="54400"/>
    <n v="15"/>
    <m/>
    <n v="292500"/>
    <n v="1.8"/>
  </r>
  <r>
    <s v="FIE60-2020-2021-0005"/>
    <s v="2021-000066"/>
    <x v="25"/>
    <d v="2020-08-20T00:00:00"/>
    <d v="2025-08-19T00:00:00"/>
    <s v="INCENT LEY 60"/>
    <s v="Contract"/>
    <s v="C0887"/>
    <s v="CAFE ORO DE PUERTO RICO, INC."/>
    <s v="C0887 - CAFE ORO DE PUERTO RICO, INC."/>
    <s v="LARES"/>
    <s v="COFFE MANUFACTURING"/>
    <x v="9"/>
    <n v="1235640"/>
    <n v="0"/>
    <n v="0"/>
    <n v="1235640"/>
    <n v="0"/>
    <n v="5071280"/>
    <m/>
    <n v="1.8"/>
  </r>
  <r>
    <s v="FIE-2017-2018-IIP-0004"/>
    <s v="2018-000305"/>
    <x v="24"/>
    <d v="2018-03-07T00:00:00"/>
    <s v=""/>
    <s v="INCENT ESP"/>
    <s v="Contract"/>
    <s v="C0130"/>
    <s v="CAFETERIA MI CASA UPRB"/>
    <s v="C0130 - CAFETERIA MI CASA UPRB"/>
    <s v="SAN JUAN"/>
    <s v="Programa Artesanía"/>
    <x v="4"/>
    <n v="990"/>
    <n v="0"/>
    <n v="990"/>
    <n v="0"/>
    <n v="0"/>
    <s v=""/>
    <s v=""/>
    <m/>
  </r>
  <r>
    <s v="FIE-2018-2019-IIP-0012"/>
    <s v="2019-000318"/>
    <x v="2"/>
    <d v="2019-02-26T00:00:00"/>
    <s v=""/>
    <s v="INCENT ESP"/>
    <s v="Contract"/>
    <s v="C0130"/>
    <s v="CAFETERIA MI CASA UPRB"/>
    <s v="C0130 - CAFETERIA MI CASA UPRB"/>
    <s v="SAN JUAN"/>
    <s v="Programa Artesanía"/>
    <x v="4"/>
    <n v="990"/>
    <n v="0"/>
    <n v="990"/>
    <n v="0"/>
    <n v="0"/>
    <s v=""/>
    <s v=""/>
    <m/>
  </r>
  <r>
    <s v="FIE-2018-2019-IIP-0012"/>
    <s v="2019-000382"/>
    <x v="2"/>
    <d v="2019-03-29T00:00:00"/>
    <s v=""/>
    <s v="INCENT ESP"/>
    <s v="Contract"/>
    <s v="C0454"/>
    <s v="CALDERON PARRILLA, LYDIA "/>
    <s v="C0454 - CALDERON PARRILLA, LYDIA "/>
    <s v="SAN JUAN"/>
    <s v="Programa Artesanía"/>
    <x v="4"/>
    <n v="840"/>
    <n v="0"/>
    <n v="840"/>
    <n v="0"/>
    <n v="0"/>
    <s v=""/>
    <s v=""/>
    <m/>
  </r>
  <r>
    <s v="FIE-2018-2019-IIP-0013"/>
    <s v="2019-000407"/>
    <x v="2"/>
    <d v="2019-04-12T00:00:00"/>
    <s v=""/>
    <s v="INCENT ESP"/>
    <s v="Contract"/>
    <s v="C0771"/>
    <s v="CAMACHO SIERRA, DINARY"/>
    <s v="C0771 - CAMACHO SIERRA, DINARY"/>
    <s v="BARCELONETA"/>
    <s v="Programa Artesanía"/>
    <x v="4"/>
    <n v="872.44"/>
    <n v="0"/>
    <n v="0"/>
    <n v="872.44"/>
    <n v="0"/>
    <s v=""/>
    <s v=""/>
    <m/>
  </r>
  <r>
    <s v="FIE60-2020-2021-0047"/>
    <s v="En Proceso"/>
    <x v="62"/>
    <s v="En Proceso"/>
    <s v=""/>
    <s v="INCENT LEY 60"/>
    <s v="Assignment"/>
    <s v="C0250"/>
    <s v="CAMPOLOR ,INC"/>
    <s v="C0250 - CAMPOLOR ,INC"/>
    <s v="PONCE"/>
    <s v="Alimentos"/>
    <x v="8"/>
    <n v="75000"/>
    <n v="0"/>
    <n v="0"/>
    <n v="75000"/>
    <n v="10"/>
    <m/>
    <n v="185534"/>
    <n v="2.15"/>
  </r>
  <r>
    <s v="FIE60-2020-2021-0049"/>
    <s v="En Proceso"/>
    <x v="62"/>
    <s v="En Proceso"/>
    <s v=""/>
    <s v="INCENT LEY 60"/>
    <s v="Assignment"/>
    <s v="C0250"/>
    <s v="CAMPOLOR ,INC"/>
    <s v="C0250 - CAMPOLOR ,INC"/>
    <s v="PONCE"/>
    <s v="Alimentos"/>
    <x v="11"/>
    <n v="73163.600000000006"/>
    <n v="0"/>
    <n v="0"/>
    <n v="73163.600000000006"/>
    <n v="0"/>
    <n v="154129"/>
    <m/>
    <n v="2.15"/>
  </r>
  <r>
    <s v="FIE60-2020-2021-0048"/>
    <s v="En Proceso"/>
    <x v="62"/>
    <s v="En Proceso"/>
    <s v=""/>
    <s v="INCENT LEY 60"/>
    <s v="Assignment"/>
    <s v="C0250"/>
    <s v="CAMPOLOR ,INC"/>
    <s v="C0250 - CAMPOLOR ,INC"/>
    <s v="PONCE"/>
    <s v="Alimentos"/>
    <x v="9"/>
    <n v="50000"/>
    <n v="0"/>
    <n v="0"/>
    <n v="50000"/>
    <n v="0"/>
    <n v="100000"/>
    <m/>
    <n v="2.15"/>
  </r>
  <r>
    <s v="FIE-2016-2017-IIP-0004"/>
    <s v="2017-000389"/>
    <x v="6"/>
    <d v="2017-03-27T00:00:00"/>
    <s v=""/>
    <s v="INCENT ESP"/>
    <s v="Contract"/>
    <s v="C0613"/>
    <s v="CAPARRA CATERING "/>
    <s v="C0613 - CAPARRA CATERING "/>
    <s v="SAN JUAN"/>
    <s v="Programa Artesanía"/>
    <x v="4"/>
    <n v="1990"/>
    <n v="0"/>
    <n v="1990"/>
    <n v="0"/>
    <n v="0"/>
    <s v=""/>
    <s v=""/>
    <m/>
  </r>
  <r>
    <s v="FIE-2016-2017-IIP-0004"/>
    <s v="2017-000405"/>
    <x v="6"/>
    <d v="2017-04-10T00:00:00"/>
    <s v=""/>
    <s v="INCENT ESP"/>
    <s v="Contract"/>
    <s v="C0613"/>
    <s v="CAPARRA CATERING "/>
    <s v="C0613 - CAPARRA CATERING "/>
    <s v="SAN JUAN"/>
    <s v="Programa Artesanía"/>
    <x v="4"/>
    <n v="535"/>
    <n v="0"/>
    <n v="535"/>
    <n v="0"/>
    <n v="0"/>
    <s v=""/>
    <s v=""/>
    <m/>
  </r>
  <r>
    <s v="FIE-2017-2018-IIP-0072"/>
    <s v="2018-000215"/>
    <x v="42"/>
    <d v="2017-12-28T00:00:00"/>
    <s v=""/>
    <s v="INCENT ESP"/>
    <s v="Contract"/>
    <s v="C0465"/>
    <s v="CARIBBEAN ELECTROPLATING, INC."/>
    <s v="C0465 - CARIBBEAN ELECTROPLATING, INC."/>
    <s v="CATAÑO"/>
    <s v="Manufactura"/>
    <x v="1"/>
    <n v="25000"/>
    <n v="0"/>
    <n v="25000"/>
    <n v="0"/>
    <n v="0"/>
    <s v=""/>
    <s v=""/>
    <m/>
  </r>
  <r>
    <s v="FE-2016-2017-0020"/>
    <s v="2018-000177"/>
    <x v="53"/>
    <d v="2017-12-13T00:00:00"/>
    <d v="2023-12-06T00:00:00"/>
    <s v="INCENT FEDE"/>
    <s v="Contract"/>
    <s v="C0733"/>
    <s v="CARIBE HOLDINGS (CAYMAN) CO. LTD. - PURACAP"/>
    <s v="C0733 - CARIBE HOLDINGS (CAYMAN) CO. LTD. - PURACAP"/>
    <s v="SAN JUAN"/>
    <s v="Farmaceútica"/>
    <x v="5"/>
    <n v="425000"/>
    <n v="0"/>
    <n v="169213.17"/>
    <n v="255786.83"/>
    <n v="70"/>
    <m/>
    <n v="2192135"/>
    <m/>
  </r>
  <r>
    <s v="FE-2016-2017-0021"/>
    <s v="2018-000197"/>
    <x v="53"/>
    <d v="2017-12-15T00:00:00"/>
    <s v="14/6/23"/>
    <s v="INCENT FEDE"/>
    <s v="Contract"/>
    <s v="C0733"/>
    <s v="CARIBE HOLDINGS (CAYMAN) CO. LTD. - PURACAP"/>
    <s v="C0733 - CARIBE HOLDINGS (CAYMAN) CO. LTD. - PURACAP"/>
    <s v="SAN JUAN"/>
    <s v="Farmaceútica"/>
    <x v="1"/>
    <n v="400000"/>
    <n v="400000"/>
    <n v="0"/>
    <n v="0"/>
    <n v="0"/>
    <n v="2080000"/>
    <m/>
    <m/>
  </r>
  <r>
    <s v="FIE-2017-2018-IIP-0092"/>
    <s v="2018-000247"/>
    <x v="63"/>
    <d v="2017-12-29T00:00:00"/>
    <s v=""/>
    <s v="INCENT ESP"/>
    <s v="Contract"/>
    <s v="C0037"/>
    <s v="CARIBE WATER TECHNOLOGY, INC"/>
    <s v="C0037 - CARIBE WATER TECHNOLOGY, INC"/>
    <s v="CAGUAS"/>
    <s v="Manufactura"/>
    <x v="1"/>
    <n v="25000"/>
    <n v="25000"/>
    <n v="0"/>
    <n v="0"/>
    <n v="0"/>
    <s v=""/>
    <s v=""/>
    <m/>
  </r>
  <r>
    <s v="FIE-2018-2019-IIP-0012"/>
    <s v="2019-000296"/>
    <x v="2"/>
    <d v="2019-02-21T00:00:00"/>
    <s v=""/>
    <s v="INCENT ESP"/>
    <s v="Contract"/>
    <s v="C0333"/>
    <s v="CARLOS DIAZ LEON"/>
    <s v="C0333 - CARLOS DIAZ LEON"/>
    <s v="SAN JUAN"/>
    <s v="Programa Artesanía"/>
    <x v="4"/>
    <n v="1260"/>
    <n v="0"/>
    <n v="1260"/>
    <n v="0"/>
    <n v="0"/>
    <s v=""/>
    <s v=""/>
    <m/>
  </r>
  <r>
    <s v="FIE-2018-2019-IIP-0015"/>
    <s v="2019-000507"/>
    <x v="2"/>
    <d v="2019-06-28T00:00:00"/>
    <s v=""/>
    <s v="INCENT ESP"/>
    <s v="Contract"/>
    <s v="C0333"/>
    <s v="CARLOS DIAZ LEON"/>
    <s v="C0333 - CARLOS DIAZ LEON"/>
    <s v="SAN JUAN"/>
    <s v="Programa Artesanía"/>
    <x v="4"/>
    <n v="1080"/>
    <n v="0"/>
    <n v="1080"/>
    <n v="0"/>
    <n v="0"/>
    <s v=""/>
    <s v=""/>
    <m/>
  </r>
  <r>
    <s v="FIE-2019-2020-IIP-0021"/>
    <s v="2020-000118"/>
    <x v="7"/>
    <d v="2019-08-29T00:00:00"/>
    <s v=""/>
    <s v="INCENT ESP"/>
    <s v="Contract"/>
    <s v="C0333"/>
    <s v="CARLOS DIAZ LEON"/>
    <s v="C0333 - CARLOS DIAZ LEON"/>
    <s v="SAN JUAN"/>
    <s v="Programa Artesanía"/>
    <x v="4"/>
    <n v="1260"/>
    <n v="0"/>
    <n v="1260"/>
    <n v="0"/>
    <n v="0"/>
    <s v=""/>
    <s v=""/>
    <m/>
  </r>
  <r>
    <s v="FIE-2019-2020-IIP-0021"/>
    <s v="2020-000391"/>
    <x v="7"/>
    <d v="2020-03-02T00:00:00"/>
    <s v=""/>
    <s v="INCENT ESP"/>
    <s v="Contract"/>
    <s v="C0333"/>
    <s v="CARLOS DIAZ LEON"/>
    <s v="C0333 - CARLOS DIAZ LEON"/>
    <s v="SAN JUAN"/>
    <s v="Programa Artesanía"/>
    <x v="4"/>
    <n v="1260"/>
    <n v="0"/>
    <n v="0"/>
    <n v="1260"/>
    <n v="0"/>
    <s v=""/>
    <s v=""/>
    <m/>
  </r>
  <r>
    <s v="FIE-2019-2020-IIP-0021"/>
    <s v="2020-000400"/>
    <x v="7"/>
    <d v="2020-03-09T00:00:00"/>
    <s v=""/>
    <s v="INCENT ESP"/>
    <s v="Contract"/>
    <s v="C0333"/>
    <s v="CARLOS DIAZ LEON"/>
    <s v="C0333 - CARLOS DIAZ LEON"/>
    <s v="SAN JUAN"/>
    <s v="Programa Artesanía"/>
    <x v="4"/>
    <n v="2115"/>
    <n v="0"/>
    <n v="0"/>
    <n v="2115"/>
    <n v="0"/>
    <s v=""/>
    <s v=""/>
    <m/>
  </r>
  <r>
    <s v="FIE-2017-2018-IIP-0027"/>
    <s v="2018-000230"/>
    <x v="60"/>
    <d v="2017-12-29T00:00:00"/>
    <s v=""/>
    <s v="INCENT ESP"/>
    <s v="Contract"/>
    <s v="C0740"/>
    <s v="CARLOS ESCRIBANO, LLC"/>
    <s v="C0740 - CARLOS ESCRIBANO, LLC"/>
    <s v="BAYAMON"/>
    <s v="Incentivo de Emergencias Huracanes - Generadores"/>
    <x v="3"/>
    <n v="58717"/>
    <n v="11477.2"/>
    <n v="47239.8"/>
    <n v="0"/>
    <n v="0"/>
    <s v=""/>
    <s v=""/>
    <m/>
  </r>
  <r>
    <s v="FIE-2016-2017-IIP-0004"/>
    <s v="2017-000181"/>
    <x v="6"/>
    <d v="2016-09-22T00:00:00"/>
    <s v=""/>
    <s v="INCENT ESP"/>
    <s v="Contract"/>
    <s v="C0088"/>
    <s v="CARMEN M. RENTA GUTIERREZ"/>
    <s v="C0088 - CARMEN M. RENTA GUTIERREZ"/>
    <s v="SAN JUAN"/>
    <s v="Programa Artesanía"/>
    <x v="4"/>
    <n v="1080"/>
    <n v="0"/>
    <n v="1080"/>
    <n v="0"/>
    <n v="0"/>
    <s v=""/>
    <s v=""/>
    <m/>
  </r>
  <r>
    <s v="FIE-2017-2018-IIP-0004"/>
    <s v="2018-000128"/>
    <x v="24"/>
    <d v="2017-11-03T00:00:00"/>
    <s v=""/>
    <s v="INCENT ESP"/>
    <s v="Contract"/>
    <s v="C0088"/>
    <s v="CARMEN M. RENTA GUTIERREZ"/>
    <s v="C0088 - CARMEN M. RENTA GUTIERREZ"/>
    <s v="SAN JUAN"/>
    <s v="Programa Artesanía"/>
    <x v="4"/>
    <n v="1260"/>
    <n v="0"/>
    <n v="1260"/>
    <n v="0"/>
    <n v="0"/>
    <s v=""/>
    <s v=""/>
    <m/>
  </r>
  <r>
    <s v="FIE-2017-2018-IIP-0004"/>
    <s v="2018-000317"/>
    <x v="24"/>
    <d v="2018-03-08T00:00:00"/>
    <s v=""/>
    <s v="INCENT ESP"/>
    <s v="Contract"/>
    <s v="C0088"/>
    <s v="CARMEN M. RENTA GUTIERREZ"/>
    <s v="C0088 - CARMEN M. RENTA GUTIERREZ"/>
    <s v="SAN JUAN"/>
    <s v="Programa Artesanía"/>
    <x v="4"/>
    <n v="1260"/>
    <n v="0"/>
    <n v="1260"/>
    <n v="0"/>
    <n v="0"/>
    <s v=""/>
    <s v=""/>
    <m/>
  </r>
  <r>
    <s v="FIE-2018-2019-IIP-0012"/>
    <s v="2019-000131"/>
    <x v="2"/>
    <d v="2018-09-10T00:00:00"/>
    <s v=""/>
    <s v="INCENT ESP"/>
    <s v="Contract"/>
    <s v="C0088"/>
    <s v="CARMEN M. RENTA GUTIERREZ"/>
    <s v="C0088 - CARMEN M. RENTA GUTIERREZ"/>
    <s v="SAN JUAN"/>
    <s v="Programa Artesanía"/>
    <x v="4"/>
    <n v="1260"/>
    <n v="0"/>
    <n v="1260"/>
    <n v="0"/>
    <n v="0"/>
    <s v=""/>
    <s v=""/>
    <m/>
  </r>
  <r>
    <s v="FIE-2019-2020-IIP-0021"/>
    <s v="2020-000121"/>
    <x v="7"/>
    <d v="2019-08-29T00:00:00"/>
    <s v=""/>
    <s v="INCENT ESP"/>
    <s v="Contract"/>
    <s v="C0088"/>
    <s v="CARMEN M. RENTA GUTIERREZ"/>
    <s v="C0088 - CARMEN M. RENTA GUTIERREZ"/>
    <s v="SAN JUAN"/>
    <s v="Programa Artesanía"/>
    <x v="4"/>
    <n v="1260"/>
    <n v="0"/>
    <n v="1260"/>
    <n v="0"/>
    <n v="0"/>
    <s v=""/>
    <s v=""/>
    <m/>
  </r>
  <r>
    <s v="FIE-2019-2020-IIP-0021"/>
    <s v="2020-000385"/>
    <x v="7"/>
    <d v="2020-03-02T00:00:00"/>
    <s v=""/>
    <s v="INCENT ESP"/>
    <s v="Contract"/>
    <s v="C0088"/>
    <s v="CARMEN M. RENTA GUTIERREZ"/>
    <s v="C0088 - CARMEN M. RENTA GUTIERREZ"/>
    <s v="SAN JUAN"/>
    <s v="Programa Artesanía"/>
    <x v="4"/>
    <n v="1260"/>
    <n v="0"/>
    <n v="0"/>
    <n v="1260"/>
    <n v="0"/>
    <s v=""/>
    <s v=""/>
    <m/>
  </r>
  <r>
    <s v="FIE-2016-2017-IIP-0004"/>
    <s v="2018-000009"/>
    <x v="6"/>
    <d v="2017-07-11T00:00:00"/>
    <s v=""/>
    <s v="INCENT ESP"/>
    <s v="Contract"/>
    <s v="C0722"/>
    <s v="CASA CULTURAL AFRO-CARIBENO CENTRO YUIZA"/>
    <s v="C0722 - CASA CULTURAL AFRO-CARIBENO CENTRO YUIZA"/>
    <s v="SAN JUAN"/>
    <s v="Programa Artesanía"/>
    <x v="4"/>
    <n v="500"/>
    <n v="0"/>
    <n v="500"/>
    <n v="0"/>
    <n v="0"/>
    <s v=""/>
    <s v=""/>
    <m/>
  </r>
  <r>
    <s v="FIE-2019-2020-IIP-0021"/>
    <s v="2020-000280"/>
    <x v="7"/>
    <d v="2019-12-19T00:00:00"/>
    <s v=""/>
    <s v="INCENT ESP"/>
    <s v="Contract"/>
    <s v="C0841"/>
    <s v="CASA DE LA CULTURA ISABELINA, INC."/>
    <s v="C0841 - CASA DE LA CULTURA ISABELINA, INC."/>
    <s v="SAN JUAN"/>
    <s v="Programa Artesanía"/>
    <x v="4"/>
    <n v="1075"/>
    <n v="0"/>
    <n v="0"/>
    <n v="1075"/>
    <n v="0"/>
    <s v=""/>
    <s v=""/>
    <m/>
  </r>
  <r>
    <s v="FE-2017-2018-0012"/>
    <s v="2018-000342"/>
    <x v="64"/>
    <d v="2018-04-03T00:00:00"/>
    <s v="31/5/19"/>
    <s v="INCENT FEDE"/>
    <s v="Contract"/>
    <s v="C0292"/>
    <s v="CASA GRANDE INTERACTIVE COMMUNICATION"/>
    <s v="C0292 - CASA GRANDE INTERACTIVE COMMUNICATION"/>
    <s v="ARECIBO"/>
    <s v="Replicar modelo de intervención académico social Uno a Uno "/>
    <x v="14"/>
    <n v="671340"/>
    <n v="0"/>
    <n v="671340"/>
    <n v="0"/>
    <n v="0"/>
    <s v=""/>
    <s v=""/>
    <m/>
  </r>
  <r>
    <s v="FE-2019-2020-0057"/>
    <s v="2020-000283"/>
    <x v="65"/>
    <d v="2019-12-20T00:00:00"/>
    <s v="30/6/2020"/>
    <s v="INCENT FEDE"/>
    <s v="Contract"/>
    <s v="C0292"/>
    <s v="CASA GRANDE INTERACTIVE COMMUNICATION"/>
    <s v="C0292 - CASA GRANDE INTERACTIVE COMMUNICATION"/>
    <s v="ARECIBO"/>
    <s v="Replicar modelo de intervención académico social Uno a Uno "/>
    <x v="14"/>
    <n v="631540"/>
    <n v="0"/>
    <n v="208408.2"/>
    <n v="423131.8"/>
    <n v="0"/>
    <s v=""/>
    <s v=""/>
    <m/>
  </r>
  <r>
    <s v="FIE-2016-2017-IIP-0004"/>
    <s v="2017-000439"/>
    <x v="6"/>
    <d v="2017-05-11T00:00:00"/>
    <s v=""/>
    <s v="INCENT ESP"/>
    <s v="Contract"/>
    <s v="C1144"/>
    <s v="CASA PEPINIANA DE LA CULTURA"/>
    <s v="C1144 - CASA PEPINIANA DE LA CULTURA"/>
    <s v="SAN SEBASTIAN"/>
    <s v="Programa Artesanía"/>
    <x v="4"/>
    <n v="9313"/>
    <n v="200"/>
    <n v="9113"/>
    <n v="0"/>
    <n v="0"/>
    <s v=""/>
    <s v=""/>
    <m/>
  </r>
  <r>
    <s v="FIE-2017-2018-IIP-0004"/>
    <s v="2018-000392"/>
    <x v="24"/>
    <d v="2018-06-19T00:00:00"/>
    <s v=""/>
    <s v="INCENT ESP"/>
    <s v="Contract"/>
    <s v="C1144"/>
    <s v="CASA PEPINIANA DE LA CULTURA"/>
    <s v="C1144 - CASA PEPINIANA DE LA CULTURA"/>
    <s v="SAN SEBASTIAN"/>
    <s v="Programa Artesanía"/>
    <x v="4"/>
    <n v="8025"/>
    <n v="243.75"/>
    <n v="7781.25"/>
    <n v="0"/>
    <n v="0"/>
    <s v=""/>
    <s v=""/>
    <m/>
  </r>
  <r>
    <s v="FIE-2018-2019-IIP-0012"/>
    <s v="2019-000462"/>
    <x v="2"/>
    <d v="2019-05-29T00:00:00"/>
    <s v=""/>
    <s v="INCENT ESP"/>
    <s v="Contract"/>
    <s v="C1144"/>
    <s v="CASA PEPINIANA DE LA CULTURA"/>
    <s v="C1144 - CASA PEPINIANA DE LA CULTURA"/>
    <s v="SAN SEBASTIAN"/>
    <s v="Programa Artesanía"/>
    <x v="4"/>
    <n v="8050"/>
    <n v="0"/>
    <n v="7850"/>
    <n v="200"/>
    <n v="0"/>
    <s v=""/>
    <s v=""/>
    <m/>
  </r>
  <r>
    <s v="FE-2018-2019-0034"/>
    <s v="2019-000344"/>
    <x v="22"/>
    <d v="2019-03-07T00:00:00"/>
    <d v="2025-06-03T00:00:00"/>
    <s v="INCENT FEDE"/>
    <s v="Contract"/>
    <s v="C0611"/>
    <s v="C-AXIS PR, INC."/>
    <s v="C0611 - C-AXIS PR, INC."/>
    <s v="CAGUAS"/>
    <s v="Manufactura"/>
    <x v="5"/>
    <n v="325000"/>
    <n v="0"/>
    <n v="80167.16"/>
    <n v="244832.84"/>
    <n v="72"/>
    <m/>
    <n v="2880000"/>
    <m/>
  </r>
  <r>
    <s v="FE-2018-2019-0035"/>
    <s v="2019-000343"/>
    <x v="22"/>
    <d v="2019-03-07T00:00:00"/>
    <d v="2024-06-03T00:00:00"/>
    <s v="INCENT FEDE"/>
    <s v="Contract"/>
    <s v="C0611"/>
    <s v="C-AXIS PR, INC."/>
    <s v="C0611 - C-AXIS PR, INC."/>
    <s v="CAGUAS"/>
    <s v="Manufactura"/>
    <x v="2"/>
    <n v="1300000"/>
    <n v="0"/>
    <n v="1300000"/>
    <n v="0"/>
    <n v="0"/>
    <n v="12000000"/>
    <m/>
    <m/>
  </r>
  <r>
    <s v="FIE60-2020-2021-0095"/>
    <s v="En Proceso"/>
    <x v="31"/>
    <s v="En Proceso"/>
    <s v=""/>
    <s v="INCENT LEY 60"/>
    <s v="Assignment"/>
    <m/>
    <s v="CCM HEALTH LLC"/>
    <s v="CCM HEALTH LLC"/>
    <s v="SAN JUAN"/>
    <s v="Call Center"/>
    <x v="8"/>
    <n v="1895000"/>
    <n v="0"/>
    <n v="0"/>
    <n v="1895000"/>
    <n v="740"/>
    <s v=""/>
    <n v="18969943"/>
    <n v="0.95"/>
  </r>
  <r>
    <s v="FIE60-2020-2021-0094"/>
    <s v="En Proceso"/>
    <x v="31"/>
    <s v="En Proceso"/>
    <s v=""/>
    <s v="INCENT LEY 60"/>
    <s v="Assignment"/>
    <m/>
    <s v="CCM HEALTH LLC"/>
    <s v="CCM HEALTH LLC"/>
    <s v="SAN JUAN"/>
    <s v="Call Center"/>
    <x v="9"/>
    <n v="2250000"/>
    <n v="0"/>
    <n v="0"/>
    <n v="2250000"/>
    <n v="0"/>
    <n v="8894100"/>
    <s v=""/>
    <n v="0.95"/>
  </r>
  <r>
    <s v="FE-2017-2018-0010"/>
    <s v="2018-000302"/>
    <x v="64"/>
    <d v="2018-03-06T00:00:00"/>
    <d v="2023-05-03T00:00:00"/>
    <s v="INCENT FEDE"/>
    <s v="Contract"/>
    <s v="C0252"/>
    <s v="CDI LABORATORIES, INC."/>
    <s v="C0252 - CDI LABORATORIES, INC."/>
    <s v="MAYAGUEZ"/>
    <s v="Biotecnología"/>
    <x v="5"/>
    <n v="300000"/>
    <n v="0"/>
    <n v="0"/>
    <n v="300000"/>
    <n v="0"/>
    <m/>
    <n v="10270000"/>
    <m/>
  </r>
  <r>
    <s v="FE-2017-2018-0011"/>
    <s v="2018-000301"/>
    <x v="64"/>
    <d v="2018-03-06T00:00:00"/>
    <d v="2023-05-03T00:00:00"/>
    <s v="INCENT FEDE"/>
    <s v="Contract"/>
    <s v="C0252"/>
    <s v="CDI LABORATORIES, INC."/>
    <s v="C0252 - CDI LABORATORIES, INC."/>
    <s v="MAYAGUEZ"/>
    <s v="Biotecnología"/>
    <x v="1"/>
    <n v="100000"/>
    <n v="22532.12"/>
    <n v="77467.88"/>
    <n v="0"/>
    <n v="0"/>
    <n v="497344"/>
    <m/>
    <m/>
  </r>
  <r>
    <s v="FIE-2018-2019-IIP-0013"/>
    <s v="2019-000282"/>
    <x v="2"/>
    <d v="2019-02-20T00:00:00"/>
    <s v=""/>
    <s v="INCENT ESP"/>
    <s v="Contract"/>
    <s v="C0761"/>
    <s v="CENTENO FARIA, YESSENIA"/>
    <s v="C0761 - CENTENO FARIA, YESSENIA"/>
    <s v="SAN JUAN"/>
    <s v="Programa Artesanía"/>
    <x v="4"/>
    <n v="977.5"/>
    <n v="0"/>
    <n v="0"/>
    <n v="977.5"/>
    <n v="0"/>
    <s v=""/>
    <s v=""/>
    <m/>
  </r>
  <r>
    <s v="FIE-2016-2017-IIP-0030"/>
    <s v="2017-000234"/>
    <x v="6"/>
    <d v="2016-11-30T00:00:00"/>
    <s v=""/>
    <s v="INCENT ESP"/>
    <s v="Contract"/>
    <s v="C2310"/>
    <s v="CENTRAL PACKAGING CARIBE,INC."/>
    <s v="C2310 - CENTRAL PACKAGING CARIBE,INC."/>
    <s v="MOROVIS"/>
    <s v="Impresos  "/>
    <x v="1"/>
    <n v="60864"/>
    <n v="0"/>
    <n v="60864"/>
    <n v="0"/>
    <n v="0"/>
    <s v=""/>
    <s v=""/>
    <m/>
  </r>
  <r>
    <s v="FIE-2016-2017-IIP-0004"/>
    <s v="2017-000158"/>
    <x v="6"/>
    <d v="2016-09-15T00:00:00"/>
    <s v=""/>
    <s v="INCENT ESP"/>
    <s v="Contract"/>
    <s v="C2324"/>
    <s v="CENTRO CULTURAL DE COROZAL, INC."/>
    <s v="C2324 - CENTRO CULTURAL DE COROZAL, INC."/>
    <s v="COROZAL"/>
    <s v="Programa Artesanía"/>
    <x v="4"/>
    <n v="3290"/>
    <n v="0"/>
    <n v="3290"/>
    <n v="0"/>
    <n v="0"/>
    <s v=""/>
    <s v=""/>
    <m/>
  </r>
  <r>
    <s v="FIE-2018-2019-IIP-0012"/>
    <s v="2019-000087"/>
    <x v="2"/>
    <d v="2018-08-24T00:00:00"/>
    <s v=""/>
    <s v="INCENT ESP"/>
    <s v="Contract"/>
    <s v="C2324"/>
    <s v="CENTRO CULTURAL DE COROZAL, INC."/>
    <s v="C2324 - CENTRO CULTURAL DE COROZAL, INC."/>
    <s v="COROZAL"/>
    <s v="Programa Artesanía"/>
    <x v="4"/>
    <n v="2780"/>
    <n v="155"/>
    <n v="2625"/>
    <n v="0"/>
    <n v="0"/>
    <s v=""/>
    <s v=""/>
    <m/>
  </r>
  <r>
    <s v="FIE-2019-2020-IIP-0021"/>
    <s v="2020-000112"/>
    <x v="7"/>
    <d v="2019-08-23T00:00:00"/>
    <s v=""/>
    <s v="INCENT ESP"/>
    <s v="Contract"/>
    <s v="C2324"/>
    <s v="CENTRO CULTURAL DE COROZAL, INC."/>
    <s v="C2324 - CENTRO CULTURAL DE COROZAL, INC."/>
    <s v="COROZAL"/>
    <s v="Programa Artesanía"/>
    <x v="4"/>
    <n v="3280"/>
    <n v="0"/>
    <n v="1080"/>
    <n v="2200"/>
    <n v="0"/>
    <s v=""/>
    <s v=""/>
    <m/>
  </r>
  <r>
    <s v="FIE-2017-2018-IIP-0004"/>
    <s v="2018-000173"/>
    <x v="24"/>
    <d v="2017-12-08T00:00:00"/>
    <s v=""/>
    <s v="INCENT ESP"/>
    <s v="Contract"/>
    <s v="C0007"/>
    <s v="CENTRO CULTURAL DR MANUEL QUEVEDO BAEZ"/>
    <s v="C0007 - CENTRO CULTURAL DR MANUEL QUEVEDO BAEZ"/>
    <s v="SAN JUAN"/>
    <s v="Programa Artesanía"/>
    <x v="4"/>
    <n v="2075"/>
    <n v="0"/>
    <n v="2075"/>
    <n v="0"/>
    <n v="0"/>
    <s v=""/>
    <s v=""/>
    <m/>
  </r>
  <r>
    <s v="FIE-2017-2018-IIP-0004"/>
    <s v="2019-000206"/>
    <x v="24"/>
    <d v="2018-12-03T00:00:00"/>
    <s v=""/>
    <s v="INCENT ESP"/>
    <s v="Contract"/>
    <s v="C0007"/>
    <s v="CENTRO CULTURAL DR MANUEL QUEVEDO BAEZ"/>
    <s v="C0007 - CENTRO CULTURAL DR MANUEL QUEVEDO BAEZ"/>
    <s v="SAN JUAN"/>
    <s v="Programa Artesanía"/>
    <x v="4"/>
    <n v="2645"/>
    <n v="30"/>
    <n v="2615"/>
    <n v="0"/>
    <n v="0"/>
    <s v=""/>
    <s v=""/>
    <m/>
  </r>
  <r>
    <s v="FIE-2019-2020-IIP-0021"/>
    <s v="2020-000248"/>
    <x v="7"/>
    <d v="2019-11-27T00:00:00"/>
    <s v=""/>
    <s v="INCENT ESP"/>
    <s v="Contract"/>
    <s v="C0007"/>
    <s v="CENTRO CULTURAL DR MANUEL QUEVEDO BAEZ"/>
    <s v="C0007 - CENTRO CULTURAL DR MANUEL QUEVEDO BAEZ"/>
    <s v="SAN JUAN"/>
    <s v="Programa Artesanía"/>
    <x v="4"/>
    <n v="2750"/>
    <n v="0"/>
    <n v="0"/>
    <n v="2750"/>
    <n v="0"/>
    <s v=""/>
    <s v=""/>
    <m/>
  </r>
  <r>
    <s v="FIE-2017-2018-IIP-0004"/>
    <s v="2018-000179"/>
    <x v="24"/>
    <d v="2017-12-14T00:00:00"/>
    <s v=""/>
    <s v="INCENT ESP"/>
    <s v="Contract"/>
    <s v="C2329"/>
    <s v="CENTRO CULTURAL JAYUYANO "/>
    <s v="C2329 - CENTRO CULTURAL JAYUYANO "/>
    <s v="JAYUYA"/>
    <s v="Programa Artesanía"/>
    <x v="4"/>
    <n v="3650"/>
    <n v="350"/>
    <n v="3300"/>
    <n v="0"/>
    <n v="0"/>
    <s v=""/>
    <s v=""/>
    <m/>
  </r>
  <r>
    <s v="FIE-2018-2019-IIP-0012"/>
    <s v="2019-000196"/>
    <x v="2"/>
    <d v="2018-11-17T00:00:00"/>
    <s v=""/>
    <s v="INCENT ESP"/>
    <s v="Contract"/>
    <s v="C2329"/>
    <s v="CENTRO CULTURAL JAYUYANO "/>
    <s v="C2329 - CENTRO CULTURAL JAYUYANO "/>
    <s v="JAYUYA"/>
    <s v="Programa Artesanía"/>
    <x v="4"/>
    <n v="4000"/>
    <n v="301"/>
    <n v="3699"/>
    <n v="0"/>
    <n v="0"/>
    <s v=""/>
    <s v=""/>
    <m/>
  </r>
  <r>
    <s v="FIE-2019-2020-IIP-0021"/>
    <s v="2020-000211"/>
    <x v="7"/>
    <d v="2019-11-07T00:00:00"/>
    <s v=""/>
    <s v="INCENT ESP"/>
    <s v="Contract"/>
    <s v="C2329"/>
    <s v="CENTRO CULTURAL JAYUYANO "/>
    <s v="C2329 - CENTRO CULTURAL JAYUYANO "/>
    <s v="JAYUYA"/>
    <s v="Programa Artesanía"/>
    <x v="4"/>
    <n v="3300"/>
    <n v="0"/>
    <n v="0"/>
    <n v="3300"/>
    <n v="0"/>
    <s v=""/>
    <s v=""/>
    <m/>
  </r>
  <r>
    <s v="FIE-2016-2017-IIP-0004"/>
    <s v="2017-000445"/>
    <x v="6"/>
    <d v="2017-05-26T00:00:00"/>
    <s v=""/>
    <s v="INCENT ESP"/>
    <s v="Contract"/>
    <s v="C0006"/>
    <s v="CENTRO CULTURAL LUIS MUNOZ RIVERA, INC."/>
    <s v="C0006 - CENTRO CULTURAL LUIS MUNOZ RIVERA, INC."/>
    <s v="SAN JUAN"/>
    <s v="Programa Artesanía"/>
    <x v="4"/>
    <n v="8205"/>
    <n v="0"/>
    <n v="8205"/>
    <n v="0"/>
    <n v="0"/>
    <s v=""/>
    <s v=""/>
    <m/>
  </r>
  <r>
    <s v="FIE-2017-2018-IIP-0004"/>
    <s v="2018-000397"/>
    <x v="24"/>
    <d v="2018-06-19T00:00:00"/>
    <s v=""/>
    <s v="INCENT ESP"/>
    <s v="Contract"/>
    <s v="C0006"/>
    <s v="CENTRO CULTURAL LUIS MUNOZ RIVERA, INC."/>
    <s v="C0006 - CENTRO CULTURAL LUIS MUNOZ RIVERA, INC."/>
    <s v="SAN JUAN"/>
    <s v="Programa Artesanía"/>
    <x v="4"/>
    <n v="8060"/>
    <n v="0"/>
    <n v="8060"/>
    <n v="0"/>
    <n v="0"/>
    <s v=""/>
    <s v=""/>
    <m/>
  </r>
  <r>
    <s v="FIE-2018-2019-IIP-0012"/>
    <s v="2020-000024"/>
    <x v="2"/>
    <d v="2019-07-11T00:00:00"/>
    <s v=""/>
    <s v="INCENT ESP"/>
    <s v="Contract"/>
    <s v="C0006"/>
    <s v="CENTRO CULTURAL LUIS MUNOZ RIVERA, INC."/>
    <s v="C0006 - CENTRO CULTURAL LUIS MUNOZ RIVERA, INC."/>
    <s v="SAN JUAN"/>
    <s v="Programa Artesanía"/>
    <x v="4"/>
    <n v="8060"/>
    <n v="0"/>
    <n v="7684"/>
    <n v="376"/>
    <n v="0"/>
    <s v=""/>
    <s v=""/>
    <m/>
  </r>
  <r>
    <s v="FE-2019-2020-0097"/>
    <s v="2021-000096"/>
    <x v="49"/>
    <d v="2020-09-11T00:00:00"/>
    <s v=""/>
    <s v="INCENT FEDE"/>
    <s v="Contract"/>
    <s v="C0899"/>
    <s v="CENTRO PARA EMPRENDEDORES, INC."/>
    <s v="C0899 - CENTRO PARA EMPRENDEDORES, INC."/>
    <s v="SAN JUAN"/>
    <s v="Mentalidad Emprendedora y Youth Start-Up Experience (Start-Up Weekend)"/>
    <x v="14"/>
    <n v="39000"/>
    <n v="0"/>
    <n v="24000"/>
    <n v="15000"/>
    <n v="0"/>
    <s v=""/>
    <s v=""/>
    <m/>
  </r>
  <r>
    <s v="FIE-2018-2019-IIP-0036"/>
    <s v="2021-000015"/>
    <x v="22"/>
    <d v="2020-07-10T00:00:00"/>
    <s v=""/>
    <s v="INCENT ESP"/>
    <s v="Contract"/>
    <s v="C0879"/>
    <s v="CESAR A. OLIVER CANABAL, INC"/>
    <s v="C0879 - CESAR A. OLIVER CANABAL, INC"/>
    <s v="SAN JUAN"/>
    <s v="Alimentos"/>
    <x v="10"/>
    <n v="143100"/>
    <n v="0"/>
    <n v="0"/>
    <n v="143100"/>
    <n v="0"/>
    <n v="190800"/>
    <n v="40320"/>
    <m/>
  </r>
  <r>
    <s v="FIE60-2020-2021-0011"/>
    <s v="2021-000113"/>
    <x v="66"/>
    <d v="2020-09-22T00:00:00"/>
    <d v="2023-09-21T00:00:00"/>
    <s v="INCENT LEY 60"/>
    <s v="Contract"/>
    <s v="C0903"/>
    <s v="CHEMICAL SOLUTIONS, LLC"/>
    <s v="C0903 - CHEMICAL SOLUTIONS, LLC"/>
    <s v="YABUCOA"/>
    <s v="Hand sanitizer and detergents. "/>
    <x v="8"/>
    <n v="5000"/>
    <n v="0"/>
    <n v="0"/>
    <n v="5000"/>
    <n v="5"/>
    <m/>
    <n v="90000"/>
    <n v="2.5299999999999998"/>
  </r>
  <r>
    <s v="FIE60-2020-2021-0012"/>
    <s v="En Proceso"/>
    <x v="66"/>
    <s v="En Proceso"/>
    <s v=""/>
    <s v="INCENT LEY 60"/>
    <s v="Assignment"/>
    <s v="C0903"/>
    <s v="CHEMICAL SOLUTIONS, LLC"/>
    <s v="C0903 - CHEMICAL SOLUTIONS, LLC"/>
    <s v="YABUCOA"/>
    <s v="Hand sanitizer and detergents"/>
    <x v="9"/>
    <n v="100000"/>
    <n v="0"/>
    <n v="0"/>
    <n v="100000"/>
    <n v="0"/>
    <n v="200000"/>
    <m/>
    <n v="2.5299999999999998"/>
  </r>
  <r>
    <s v="FIE-2017-2018-IIP-0052"/>
    <s v="2018-000202"/>
    <x v="35"/>
    <d v="2017-12-21T00:00:00"/>
    <s v=""/>
    <s v="INCENT ESP"/>
    <s v="Contract"/>
    <s v="C0731"/>
    <s v="CHULEKAN, INC."/>
    <s v="C0731 - CHULEKAN, INC."/>
    <s v="SAN JUAN"/>
    <s v="Incentivo de Emergencias Huracanes - Generadores"/>
    <x v="3"/>
    <n v="25000"/>
    <n v="25000"/>
    <n v="0"/>
    <n v="0"/>
    <n v="0"/>
    <s v=""/>
    <s v=""/>
    <m/>
  </r>
  <r>
    <s v="FIE-2019-2020-IIP-0094"/>
    <s v="En Proceso"/>
    <x v="67"/>
    <s v="En Proceso"/>
    <s v=""/>
    <s v="INCENT ESP"/>
    <s v="Assignment"/>
    <m/>
    <s v="CIDRA MANUFACTURING, INC."/>
    <s v="CIDRA MANUFACTURING, INC."/>
    <s v="SAN JUAN"/>
    <s v="COSTURA MILITAR"/>
    <x v="5"/>
    <n v="100000"/>
    <n v="0"/>
    <n v="0"/>
    <n v="100000"/>
    <n v="100"/>
    <m/>
    <n v="2503800"/>
    <m/>
  </r>
  <r>
    <s v="FIE-2019-2020-IIP-0093"/>
    <s v="En Proceso"/>
    <x v="67"/>
    <s v="En Proceso"/>
    <s v=""/>
    <s v="INCENT ESP"/>
    <s v="Assignment"/>
    <m/>
    <s v="CIDRA MANUFACTURING, INC."/>
    <s v="CIDRA MANUFACTURING, INC."/>
    <s v="SAN JUAN"/>
    <s v="COSTURA MILITAR"/>
    <x v="2"/>
    <n v="96926"/>
    <n v="0"/>
    <n v="0"/>
    <n v="96926"/>
    <n v="0"/>
    <n v="250000"/>
    <m/>
    <m/>
  </r>
  <r>
    <s v="FIE-2018-2019-IIP-0016"/>
    <s v="2019-000497"/>
    <x v="2"/>
    <d v="2019-06-28T00:00:00"/>
    <s v=""/>
    <s v="INCENT ESP"/>
    <s v="Contract"/>
    <s v="C0232"/>
    <s v="CIRACET, CORP"/>
    <s v="C0232 - CIRACET, CORP"/>
    <s v="SAN JUAN"/>
    <s v="Manufactura"/>
    <x v="0"/>
    <n v="30252.5"/>
    <n v="0"/>
    <n v="2903.61"/>
    <n v="27348.89"/>
    <n v="0"/>
    <s v=""/>
    <s v=""/>
    <m/>
  </r>
  <r>
    <s v="FIE-2018-2019-IIP-0030"/>
    <s v="2019-000263-A"/>
    <x v="20"/>
    <d v="2019-03-01T00:00:00"/>
    <s v=""/>
    <s v="INCENT ESP"/>
    <s v="Contract"/>
    <s v="C0759"/>
    <s v="CLEANCULT, LLC"/>
    <s v="C0759 - CLEANCULT, LLC"/>
    <s v="SAN JUAN"/>
    <s v="Tecnología"/>
    <x v="7"/>
    <n v="80000"/>
    <n v="0"/>
    <n v="80000"/>
    <n v="0"/>
    <n v="0"/>
    <s v=""/>
    <s v=""/>
    <m/>
  </r>
  <r>
    <s v="FE-2018-2019-0072"/>
    <s v="2019-000350"/>
    <x v="68"/>
    <d v="2019-03-15T00:00:00"/>
    <s v="30/6/2019"/>
    <s v="INCENT FEDE"/>
    <s v="Contract"/>
    <s v="C0765"/>
    <s v="COBIAN MEDIA, LLC"/>
    <s v="C0765 - COBIAN MEDIA, LLC"/>
    <s v="MAYAGUEZ"/>
    <s v="Auspicio de eventos para fomentar Desarrollo Económico "/>
    <x v="16"/>
    <n v="125000"/>
    <n v="0"/>
    <n v="75000"/>
    <n v="50000"/>
    <n v="0"/>
    <s v=""/>
    <s v=""/>
    <m/>
  </r>
  <r>
    <s v="FE-2019-2020-0061"/>
    <s v="2020-000238"/>
    <x v="43"/>
    <d v="2019-11-13T00:00:00"/>
    <s v="16/11/2019"/>
    <s v="INCENT FEDE"/>
    <s v="Contract"/>
    <s v="C0765"/>
    <s v="COBIAN MEDIA, LLC"/>
    <s v="C0765 - COBIAN MEDIA, LLC"/>
    <s v="MAYAGUEZ"/>
    <s v="Auspicio Animus Summit "/>
    <x v="16"/>
    <n v="150000"/>
    <n v="0"/>
    <n v="150000"/>
    <n v="0"/>
    <n v="0"/>
    <s v=""/>
    <s v=""/>
    <m/>
  </r>
  <r>
    <s v="FIE-2017-2018-IIP-0004"/>
    <s v="2018-000169"/>
    <x v="24"/>
    <d v="2017-12-07T00:00:00"/>
    <s v=""/>
    <s v="INCENT ESP"/>
    <s v="Contract"/>
    <s v="C0561"/>
    <s v="COCINA SELECTA, INC."/>
    <s v="C0561 - COCINA SELECTA, INC."/>
    <s v="SAN JUAN"/>
    <s v="Programa Artesanía"/>
    <x v="4"/>
    <n v="1479.5"/>
    <n v="0"/>
    <n v="1479.5"/>
    <n v="0"/>
    <n v="0"/>
    <s v=""/>
    <s v=""/>
    <m/>
  </r>
  <r>
    <s v="FIE-2017-2018-IIP-0004"/>
    <s v="2018-000281"/>
    <x v="24"/>
    <d v="2018-02-06T00:00:00"/>
    <s v=""/>
    <s v="INCENT ESP"/>
    <s v="Contract"/>
    <s v="C0561"/>
    <s v="COCINA SELECTA, INC."/>
    <s v="C0561 - COCINA SELECTA, INC."/>
    <s v="SAN JUAN"/>
    <s v="Programa Artesanía"/>
    <x v="4"/>
    <n v="660"/>
    <n v="0"/>
    <n v="660"/>
    <n v="0"/>
    <n v="0"/>
    <s v=""/>
    <s v=""/>
    <m/>
  </r>
  <r>
    <s v="FIE-2017-2018-IIP-0004"/>
    <s v="2018-000331"/>
    <x v="24"/>
    <d v="2018-03-21T00:00:00"/>
    <s v=""/>
    <s v="INCENT ESP"/>
    <s v="Contract"/>
    <s v="C0561"/>
    <s v="COCINA SELECTA, INC."/>
    <s v="C0561 - COCINA SELECTA, INC."/>
    <s v="SAN JUAN"/>
    <s v="Programa Artesanía"/>
    <x v="4"/>
    <n v="870"/>
    <n v="0"/>
    <n v="870"/>
    <n v="0"/>
    <n v="0"/>
    <s v=""/>
    <s v=""/>
    <m/>
  </r>
  <r>
    <s v="FIE-2016-2017-IIP-0004"/>
    <s v="2017-000414"/>
    <x v="6"/>
    <d v="2017-04-21T00:00:00"/>
    <s v=""/>
    <s v="INCENT ESP"/>
    <s v="Contract"/>
    <s v="C0285"/>
    <s v="COLON MARRERO, XAVIER J."/>
    <s v="C0285 - COLON MARRERO, XAVIER J."/>
    <s v="SAN JUAN"/>
    <s v="Programa Artesanía"/>
    <x v="4"/>
    <n v="1000"/>
    <n v="0"/>
    <n v="1000"/>
    <n v="0"/>
    <n v="0"/>
    <s v=""/>
    <s v=""/>
    <m/>
  </r>
  <r>
    <s v="FIE-2016-2017-IIP-0005"/>
    <s v="2017-000381"/>
    <x v="6"/>
    <d v="2017-03-16T00:00:00"/>
    <s v=""/>
    <s v="INCENT ESP"/>
    <s v="Contract"/>
    <s v="C0713"/>
    <s v="COLON ORTIZ, WILSON"/>
    <s v="C0713 - COLON ORTIZ, WILSON"/>
    <s v="SAN JUAN"/>
    <s v="Programa Artesanía"/>
    <x v="4"/>
    <n v="1000"/>
    <n v="0"/>
    <n v="1000"/>
    <n v="0"/>
    <n v="0"/>
    <s v=""/>
    <s v=""/>
    <m/>
  </r>
  <r>
    <s v="FIE-2019-2020-IIP-0022"/>
    <s v="2020-000267"/>
    <x v="7"/>
    <d v="2019-12-06T00:00:00"/>
    <s v=""/>
    <s v="INCENT ESP"/>
    <s v="Contract"/>
    <s v="C0834"/>
    <s v="COLON RIVERA, CARMEN"/>
    <s v="C0834 - COLON RIVERA, CARMEN"/>
    <s v="SAN JUAN"/>
    <s v="Programa Artesanía"/>
    <x v="4"/>
    <n v="986.92"/>
    <n v="0"/>
    <n v="0"/>
    <n v="986.92"/>
    <n v="0"/>
    <s v=""/>
    <s v=""/>
    <m/>
  </r>
  <r>
    <s v="FIE-2016-2017-IEE-0011"/>
    <s v="2016-000585-B"/>
    <x v="57"/>
    <d v="2016-09-12T00:00:00"/>
    <s v=""/>
    <s v="INCENT ESP"/>
    <s v="Contract"/>
    <s v="C0103"/>
    <s v="COMERCIAL TORO, INC D/B/A TOPES TORO"/>
    <s v="C0103 - COMERCIAL TORO, INC D/B/A TOPES TORO"/>
    <s v="PONCE"/>
    <s v="Muebles"/>
    <x v="6"/>
    <n v="825"/>
    <n v="0"/>
    <n v="825"/>
    <n v="0"/>
    <n v="0"/>
    <s v=""/>
    <s v=""/>
    <m/>
  </r>
  <r>
    <s v="FIE-2016-2017-IEE-0045"/>
    <s v="2017-000353"/>
    <x v="10"/>
    <d v="2017-02-27T00:00:00"/>
    <s v=""/>
    <s v="INCENT ESP"/>
    <s v="Contract"/>
    <s v="C0103"/>
    <s v="COMERCIAL TORO, INC D/B/A TOPES TORO"/>
    <s v="C0103 - COMERCIAL TORO, INC D/B/A TOPES TORO"/>
    <s v="PONCE"/>
    <s v="Muebles"/>
    <x v="6"/>
    <n v="944"/>
    <n v="0"/>
    <n v="944"/>
    <n v="0"/>
    <n v="0"/>
    <s v=""/>
    <s v=""/>
    <m/>
  </r>
  <r>
    <s v="FIE-2018-2019-IEE-0044"/>
    <s v="2019-000401"/>
    <x v="69"/>
    <d v="2019-04-23T00:00:00"/>
    <s v=""/>
    <s v="INCENT ESP"/>
    <s v="Contract"/>
    <s v="C0103"/>
    <s v="COMERCIAL TORO, INC D/B/A TOPES TORO"/>
    <s v="C0103 - COMERCIAL TORO, INC D/B/A TOPES TORO"/>
    <s v="PONCE"/>
    <s v="Muebles"/>
    <x v="6"/>
    <n v="1775"/>
    <n v="0"/>
    <n v="1775"/>
    <n v="0"/>
    <n v="0"/>
    <s v=""/>
    <s v=""/>
    <m/>
  </r>
  <r>
    <s v="FIE-2018-2019-IEE-0075"/>
    <s v="2019-000401-A"/>
    <x v="70"/>
    <d v="2019-06-28T00:00:00"/>
    <s v=""/>
    <s v="INCENT ESP"/>
    <s v="Contract"/>
    <s v="C0103"/>
    <s v="COMERCIAL TORO, INC D/B/A TOPES TORO"/>
    <s v="C0103 - COMERCIAL TORO, INC D/B/A TOPES TORO"/>
    <s v="PONCE"/>
    <s v="Muebles"/>
    <x v="6"/>
    <n v="892"/>
    <n v="0"/>
    <n v="892"/>
    <n v="0"/>
    <n v="0"/>
    <s v=""/>
    <s v=""/>
    <m/>
  </r>
  <r>
    <s v="FIE-2019-2020-IEE-0044"/>
    <s v="2019-000401-B"/>
    <x v="46"/>
    <d v="2019-11-06T00:00:00"/>
    <s v=""/>
    <s v="INCENT ESP"/>
    <s v="Contract"/>
    <s v="C0103"/>
    <s v="COMERCIAL TORO, INC D/B/A TOPES TORO"/>
    <s v="C0103 - COMERCIAL TORO, INC D/B/A TOPES TORO"/>
    <s v="PONCE"/>
    <s v="Muebles"/>
    <x v="6"/>
    <n v="1025"/>
    <n v="0"/>
    <n v="1025"/>
    <n v="0"/>
    <n v="0"/>
    <s v=""/>
    <s v=""/>
    <m/>
  </r>
  <r>
    <s v="FIE-2019-2020-IEE-0065"/>
    <s v="2019-000401-C"/>
    <x v="71"/>
    <d v="2019-11-15T00:00:00"/>
    <s v=""/>
    <s v="INCENT ESP"/>
    <s v="Contract"/>
    <s v="C0103"/>
    <s v="COMERCIAL TORO, INC D/B/A TOPES TORO"/>
    <s v="C0103 - COMERCIAL TORO, INC D/B/A TOPES TORO"/>
    <s v="PONCE"/>
    <s v="Muebles"/>
    <x v="6"/>
    <n v="1050"/>
    <n v="0"/>
    <n v="1050"/>
    <n v="0"/>
    <n v="0"/>
    <s v=""/>
    <s v=""/>
    <m/>
  </r>
  <r>
    <s v="FIE-2019-2020-IEE-0130"/>
    <s v="2021-000001"/>
    <x v="72"/>
    <d v="2020-07-03T00:00:00"/>
    <s v=""/>
    <s v="INCENT ESP"/>
    <s v="Contract"/>
    <s v="C0103"/>
    <s v="COMERCIAL TORO, INC D/B/A TOPES TORO"/>
    <s v="C0103 - COMERCIAL TORO, INC D/B/A TOPES TORO"/>
    <s v="PONCE"/>
    <s v="Muebles"/>
    <x v="6"/>
    <n v="757"/>
    <n v="0"/>
    <n v="757"/>
    <n v="0"/>
    <n v="0"/>
    <s v=""/>
    <s v=""/>
    <m/>
  </r>
  <r>
    <s v="FIE-2019-2020-IEE-0129"/>
    <s v="2021-000001-A"/>
    <x v="72"/>
    <d v="2020-07-08T00:00:00"/>
    <s v=""/>
    <s v="INCENT ESP"/>
    <s v="Contract"/>
    <s v="C0103"/>
    <s v="COMERCIAL TORO, INC D/B/A TOPES TORO"/>
    <s v="C0103 - COMERCIAL TORO, INC D/B/A TOPES TORO"/>
    <s v="PONCE"/>
    <s v="Muebles"/>
    <x v="6"/>
    <n v="1345"/>
    <n v="0"/>
    <n v="1345"/>
    <n v="0"/>
    <n v="0"/>
    <s v=""/>
    <s v=""/>
    <m/>
  </r>
  <r>
    <s v="FIE60-2020-2021-0096"/>
    <s v="En Proceso"/>
    <x v="73"/>
    <s v="En Proceso"/>
    <s v=""/>
    <s v="INCENT LEY 60"/>
    <s v="Assignment"/>
    <s v="C0103"/>
    <s v="COMERCIAL TORO, INC D/B/A TOPES TORO (C0103)"/>
    <s v="C0103 - COMERCIAL TORO, INC D/B/A TOPES TORO (C0103)"/>
    <s v="PONCE"/>
    <s v="Muebles"/>
    <x v="6"/>
    <n v="531"/>
    <n v="0"/>
    <n v="0"/>
    <n v="531"/>
    <n v="0"/>
    <s v=""/>
    <s v=""/>
    <s v=""/>
  </r>
  <r>
    <s v="FIE60-2020-2021-0097"/>
    <s v="En Proceso"/>
    <x v="73"/>
    <s v="En Proceso"/>
    <s v=""/>
    <s v="INCENT LEY 60"/>
    <s v="Assignment"/>
    <s v="C0103"/>
    <s v="COMERCIAL TORO, INC D/B/A TOPES TORO (C0103)"/>
    <s v="C0103 - COMERCIAL TORO, INC D/B/A TOPES TORO (C0103)"/>
    <s v="PONCE"/>
    <s v="Muebles"/>
    <x v="6"/>
    <n v="608"/>
    <n v="0"/>
    <n v="0"/>
    <n v="608"/>
    <n v="0"/>
    <s v=""/>
    <s v=""/>
    <s v=""/>
  </r>
  <r>
    <s v="FE-2017-2018-0019"/>
    <s v="En Proceso"/>
    <x v="64"/>
    <s v="En Proceso"/>
    <s v=""/>
    <s v="INCENT FEDE"/>
    <s v="Assignment"/>
    <s v="C0601"/>
    <s v="COMMSENSE, LLC"/>
    <s v="C0601 - COMMSENSE, LLC"/>
    <s v="AGUADILLA"/>
    <s v="Call center "/>
    <x v="5"/>
    <n v="1400000"/>
    <n v="0"/>
    <n v="0"/>
    <n v="1400000"/>
    <n v="700"/>
    <m/>
    <n v="12880000"/>
    <m/>
  </r>
  <r>
    <s v="FE-2017-2018-0020"/>
    <s v="En Proceso"/>
    <x v="64"/>
    <s v="En Proceso"/>
    <s v=""/>
    <s v="INCENT FEDE"/>
    <s v="Assignment"/>
    <s v="C0601"/>
    <s v="COMMSENSE, LLC"/>
    <s v="C0601 - COMMSENSE, LLC"/>
    <s v="AGUADILLA"/>
    <s v="Call Center"/>
    <x v="1"/>
    <n v="600000"/>
    <n v="0"/>
    <n v="0"/>
    <n v="600000"/>
    <n v="0"/>
    <n v="2003172"/>
    <m/>
    <m/>
  </r>
  <r>
    <s v="FE-2018-2019-0061"/>
    <s v="2019-000385"/>
    <x v="19"/>
    <d v="2019-03-28T00:00:00"/>
    <s v="27/3/2025"/>
    <s v="INCENT FEDE"/>
    <s v="Contract"/>
    <s v="C0601"/>
    <s v="COMMSENSE, LLC"/>
    <s v="C0601 - COMMSENSE, LLC"/>
    <s v="AGUADILLA"/>
    <s v="Centro de Llamadas"/>
    <x v="5"/>
    <n v="525000"/>
    <n v="0"/>
    <n v="52850"/>
    <n v="472150"/>
    <n v="300"/>
    <m/>
    <n v="5341800"/>
    <m/>
  </r>
  <r>
    <s v="FE-2018-2019-0062"/>
    <s v="2019-000386"/>
    <x v="19"/>
    <d v="2019-03-28T00:00:00"/>
    <s v="27/3/2024"/>
    <s v="INCENT FEDE"/>
    <s v="Contract"/>
    <s v="C0601"/>
    <s v="COMMSENSE, LLC"/>
    <s v="C0601 - COMMSENSE, LLC"/>
    <s v="AGUADILLA"/>
    <s v="Centro de Llamadas"/>
    <x v="2"/>
    <n v="150000"/>
    <n v="0"/>
    <n v="93514.57"/>
    <n v="56485.429999999993"/>
    <n v="0"/>
    <n v="1539583"/>
    <m/>
    <m/>
  </r>
  <r>
    <s v="FE-2017-2018-0021"/>
    <s v="En Proceso"/>
    <x v="24"/>
    <s v="En Proceso"/>
    <s v=""/>
    <s v="INCENT FEDE"/>
    <s v="Assignment"/>
    <m/>
    <s v="COMPAÑIA DE FOMENTO INDUSTRIAL (PRIDCO)"/>
    <s v="COMPAÑIA DE FOMENTO INDUSTRIAL (PRIDCO)"/>
    <s v="SAN JUAN"/>
    <s v="Gastos Adm 2017-2018"/>
    <x v="17"/>
    <n v="1000000"/>
    <n v="0"/>
    <n v="1000000"/>
    <n v="0"/>
    <n v="0"/>
    <s v=""/>
    <s v=""/>
    <m/>
  </r>
  <r>
    <s v="FE-2018-2019-0030"/>
    <s v="En Proceso"/>
    <x v="74"/>
    <s v="En Proceso"/>
    <s v=""/>
    <s v="INCENT FEDE"/>
    <s v="Assignment"/>
    <m/>
    <s v="COMPAÑIA DE FOMENTO INDUSTRIAL (PRIDCO)"/>
    <s v="COMPAÑIA DE FOMENTO INDUSTRIAL (PRIDCO)"/>
    <s v="SAN JUAN"/>
    <s v="Gastos Adm 2018-2019"/>
    <x v="17"/>
    <n v="2974955"/>
    <n v="0"/>
    <n v="2974955"/>
    <n v="0"/>
    <n v="0"/>
    <s v=""/>
    <s v=""/>
    <m/>
  </r>
  <r>
    <s v="FE-2019-2020-0056"/>
    <s v="En Proceso"/>
    <x v="65"/>
    <s v="En Proceso"/>
    <s v=""/>
    <s v="INCENT FEDE"/>
    <s v="Assignment"/>
    <m/>
    <s v="COMPAÑIA DE FOMENTO INDUSTRIAL (PRIDCO)"/>
    <s v="COMPAÑIA DE FOMENTO INDUSTRIAL (PRIDCO)"/>
    <s v="SAN JUAN"/>
    <s v="Diseño Roosevelt Roads"/>
    <x v="16"/>
    <n v="550000"/>
    <n v="0"/>
    <n v="550000"/>
    <n v="0"/>
    <n v="0"/>
    <s v=""/>
    <s v=""/>
    <m/>
  </r>
  <r>
    <s v="FIE60-2020-2021-0073"/>
    <s v="En Proceso"/>
    <x v="31"/>
    <s v="En Proceso"/>
    <s v=""/>
    <s v="INCENT LEY 60"/>
    <s v="Assignment"/>
    <m/>
    <s v="COMPUTER DISTRIBUTORS INC. (CDI)"/>
    <s v="COMPUTER DISTRIBUTORS INC. (CDI)"/>
    <s v="SAN JUAN"/>
    <s v="Software development"/>
    <x v="8"/>
    <n v="51000"/>
    <n v="0"/>
    <n v="0"/>
    <n v="51000"/>
    <n v="17"/>
    <s v=""/>
    <n v="638000"/>
    <n v="0.7"/>
  </r>
  <r>
    <s v="FIE60-2020-2021-0074"/>
    <s v="En Proceso"/>
    <x v="31"/>
    <s v="En Proceso"/>
    <s v=""/>
    <s v="INCENT LEY 60"/>
    <s v="Assignment"/>
    <m/>
    <s v="COMPUTER DISTRIBUTORS INC. (CDI)"/>
    <s v="COMPUTER DISTRIBUTORS INC. (CDI)"/>
    <s v="SAN JUAN"/>
    <s v="Software development"/>
    <x v="9"/>
    <n v="40000"/>
    <n v="0"/>
    <n v="0"/>
    <n v="40000"/>
    <n v="0"/>
    <n v="30281"/>
    <s v=""/>
    <n v="0.7"/>
  </r>
  <r>
    <s v="FIE-2016-2017-IIP-0036"/>
    <s v="2017-000214"/>
    <x v="0"/>
    <d v="2016-10-31T00:00:00"/>
    <s v=""/>
    <s v="INCENT ESP"/>
    <s v="Contract"/>
    <s v="C0693"/>
    <s v="COMPUTER EXPERT GROUP LLC"/>
    <s v="C0693 - COMPUTER EXPERT GROUP LLC"/>
    <s v="SAN JUAN"/>
    <s v="Manufactura"/>
    <x v="0"/>
    <n v="50000"/>
    <n v="39668.35"/>
    <n v="10331.65"/>
    <n v="0"/>
    <n v="0"/>
    <s v=""/>
    <s v=""/>
    <m/>
  </r>
  <r>
    <s v="FIE-2017-2018-IIP-0033"/>
    <s v="2018-000139"/>
    <x v="75"/>
    <d v="2017-11-16T00:00:00"/>
    <s v=""/>
    <s v="INCENT ESP"/>
    <s v="Contract"/>
    <s v="C0593"/>
    <s v="CONCEPT DESIGN CREATE, LLC"/>
    <s v="C0593 - CONCEPT DESIGN CREATE, LLC"/>
    <s v="SAN JUAN"/>
    <s v="Incentivo de Emergencias Huracanes - Generadores"/>
    <x v="3"/>
    <n v="25000"/>
    <n v="0"/>
    <n v="25000"/>
    <n v="0"/>
    <n v="0"/>
    <s v=""/>
    <s v=""/>
    <m/>
  </r>
  <r>
    <s v="FE-2019-2020-0010"/>
    <s v="2020-000252-A"/>
    <x v="4"/>
    <d v="2019-11-27T00:00:00"/>
    <s v=""/>
    <s v="INCENT FEDE"/>
    <s v="Contract"/>
    <s v="C5810"/>
    <s v="CONGAR INTERNATIONAL CORP."/>
    <s v="C5810 - CONGAR INTERNATIONAL CORP."/>
    <s v="CAYEY"/>
    <s v="CIGARS                                                                          "/>
    <x v="5"/>
    <n v="577500"/>
    <n v="0"/>
    <n v="0"/>
    <n v="577500"/>
    <n v="53"/>
    <m/>
    <n v="1033201"/>
    <m/>
  </r>
  <r>
    <s v="FE-2019-2020-0011"/>
    <s v="2020-000253"/>
    <x v="4"/>
    <d v="2019-11-27T00:00:00"/>
    <s v="26/11/2024"/>
    <s v="INCENT FEDE"/>
    <s v="Contract"/>
    <s v="C5810"/>
    <s v="CONGAR INTERNATIONAL CORP."/>
    <s v="C5810 - CONGAR INTERNATIONAL CORP."/>
    <s v="CAYEY"/>
    <s v="CIGARS                                                                          "/>
    <x v="2"/>
    <n v="4287600"/>
    <n v="0"/>
    <n v="0"/>
    <n v="4287600"/>
    <n v="0"/>
    <n v="14292000"/>
    <m/>
    <m/>
  </r>
  <r>
    <s v="FIE-2016-2017-IIP-0004"/>
    <s v="2017-000118"/>
    <x v="6"/>
    <d v="2016-08-11T00:00:00"/>
    <s v=""/>
    <s v="INCENT ESP"/>
    <s v="Contract"/>
    <s v="C0010"/>
    <s v="CONSEJO JUANADINO PRO FESTEJOS DE REYES, INC."/>
    <s v="C0010 - CONSEJO JUANADINO PRO FESTEJOS DE REYES, INC."/>
    <s v="JUANA DIAZ"/>
    <s v="Programa Artesanía"/>
    <x v="4"/>
    <n v="2795"/>
    <n v="0"/>
    <n v="2795"/>
    <n v="0"/>
    <n v="0"/>
    <s v=""/>
    <s v=""/>
    <m/>
  </r>
  <r>
    <s v="FIE-2016-2017-IIP-0004"/>
    <s v="2017-000177"/>
    <x v="6"/>
    <d v="2016-09-20T00:00:00"/>
    <s v=""/>
    <s v="INCENT ESP"/>
    <s v="Contract"/>
    <s v="C7100"/>
    <s v="CONSEJO JUANADINO PRO FESTEJOS DE REYES, INC."/>
    <s v="C7100 - CONSEJO JUANADINO PRO FESTEJOS DE REYES, INC."/>
    <s v="JUANA DIAZ"/>
    <s v="Programa Artesanía"/>
    <x v="4"/>
    <n v="5328.15"/>
    <n v="3450"/>
    <n v="1878.15"/>
    <n v="0"/>
    <n v="0"/>
    <s v=""/>
    <s v=""/>
    <m/>
  </r>
  <r>
    <s v="FIE-2016-2017-IIP-0004"/>
    <s v="2017-000472"/>
    <x v="6"/>
    <d v="2017-06-29T00:00:00"/>
    <s v=""/>
    <s v="INCENT ESP"/>
    <s v="Contract"/>
    <s v="C7100"/>
    <s v="CONSEJO JUANADINO PRO FESTEJOS DE REYES, INC."/>
    <s v="C7100 - CONSEJO JUANADINO PRO FESTEJOS DE REYES, INC."/>
    <s v="JUANA DIAZ"/>
    <s v="Programa Artesanía"/>
    <x v="4"/>
    <n v="2700"/>
    <n v="0"/>
    <n v="2700"/>
    <n v="0"/>
    <n v="0"/>
    <s v=""/>
    <s v=""/>
    <m/>
  </r>
  <r>
    <s v="FIE-2017-2018-IIP-0004"/>
    <s v="2018-000168-B"/>
    <x v="24"/>
    <d v="2017-12-08T00:00:00"/>
    <s v=""/>
    <s v="INCENT ESP"/>
    <s v="Contract"/>
    <s v="C7100"/>
    <s v="CONSEJO JUANADINO PRO FESTEJOS DE REYES, INC."/>
    <s v="C7100 - CONSEJO JUANADINO PRO FESTEJOS DE REYES, INC."/>
    <s v="JUANA DIAZ"/>
    <s v="Programa Artesanía"/>
    <x v="4"/>
    <n v="3467.62"/>
    <n v="0"/>
    <n v="3467.62"/>
    <n v="0"/>
    <n v="0"/>
    <s v=""/>
    <s v=""/>
    <m/>
  </r>
  <r>
    <s v="FIE-2017-2018-IIP-0004"/>
    <s v="2018-000402"/>
    <x v="24"/>
    <d v="2018-06-27T00:00:00"/>
    <s v=""/>
    <s v="INCENT ESP"/>
    <s v="Contract"/>
    <s v="C0010"/>
    <s v="CONSEJO JUANADINO PRO FESTEJOS DE REYES, INC."/>
    <s v="C0010 - CONSEJO JUANADINO PRO FESTEJOS DE REYES, INC."/>
    <s v="JUANA DIAZ"/>
    <s v="Programa Artesanía"/>
    <x v="4"/>
    <n v="2095"/>
    <n v="0"/>
    <n v="2095"/>
    <n v="0"/>
    <n v="0"/>
    <s v=""/>
    <s v=""/>
    <m/>
  </r>
  <r>
    <s v="FIE-2018-2019-IIP-0012"/>
    <s v="2019-000230"/>
    <x v="2"/>
    <d v="2018-12-21T00:00:00"/>
    <s v=""/>
    <s v="INCENT ESP"/>
    <s v="Contract"/>
    <s v="C0010"/>
    <s v="CONSEJO JUANADINO PRO FESTEJOS DE REYES, INC."/>
    <s v="C0010 - CONSEJO JUANADINO PRO FESTEJOS DE REYES, INC."/>
    <s v="JUANA DIAZ"/>
    <s v="Programa Artesanía"/>
    <x v="4"/>
    <n v="1985"/>
    <n v="0"/>
    <n v="1985"/>
    <n v="0"/>
    <n v="0"/>
    <s v=""/>
    <s v=""/>
    <m/>
  </r>
  <r>
    <s v="FIE60-2020-2021-0033"/>
    <s v="En Proceso"/>
    <x v="39"/>
    <s v="En Proceso"/>
    <s v=""/>
    <s v="INCENT LEY 60"/>
    <s v="Assignment"/>
    <m/>
    <s v="COOLING SYSTEMS CARIBE, INC."/>
    <s v="COOLING SYSTEMS CARIBE, INC."/>
    <s v="AIBONITO"/>
    <s v="MOTOR VEHICLES RADIATORS                                                        "/>
    <x v="8"/>
    <n v="40000"/>
    <n v="0"/>
    <n v="0"/>
    <n v="40000"/>
    <n v="0"/>
    <m/>
    <n v="720000"/>
    <n v="3.61"/>
  </r>
  <r>
    <s v="FIE60-2020-2021-0034"/>
    <s v="En Proceso"/>
    <x v="39"/>
    <s v="En Proceso"/>
    <s v=""/>
    <s v="INCENT LEY 60"/>
    <s v="Assignment"/>
    <m/>
    <s v="COOLING SYSTEMS CARIBE, INC."/>
    <s v="COOLING SYSTEMS CARIBE, INC."/>
    <s v="AIBONITO"/>
    <s v="MOTOR VEHICLES RADIATORS                                                        "/>
    <x v="9"/>
    <n v="330000"/>
    <n v="0"/>
    <n v="0"/>
    <n v="330000"/>
    <n v="0"/>
    <n v="660000"/>
    <m/>
    <n v="3.61"/>
  </r>
  <r>
    <s v="FIE-2017-2018-IIP-0107"/>
    <s v="2019-000198"/>
    <x v="20"/>
    <d v="2018-11-29T00:00:00"/>
    <s v=""/>
    <s v="INCENT ESP"/>
    <s v="Contract"/>
    <s v="C0565"/>
    <s v="COOPERATIVA AGRICULTORES DEL SUROESTE"/>
    <s v="C0565 - COOPERATIVA AGRICULTORES DEL SUROESTE"/>
    <s v="LAJAS"/>
    <s v="meat processing"/>
    <x v="5"/>
    <n v="14000"/>
    <n v="0"/>
    <n v="0"/>
    <n v="14000"/>
    <n v="10"/>
    <n v="200000"/>
    <n v="150800"/>
    <m/>
  </r>
  <r>
    <s v="FE-2018-2019-0107"/>
    <s v="2020-000147"/>
    <x v="76"/>
    <d v="2019-09-20T00:00:00"/>
    <s v="19/9/2024"/>
    <s v="INCENT FEDE"/>
    <s v="Contract"/>
    <s v="C7085"/>
    <s v="COOPERVISION CARIBBEAN CORP."/>
    <s v="C7085 - COOPERVISION CARIBBEAN CORP."/>
    <s v="JUANA DIAZ"/>
    <s v="Medical Device"/>
    <x v="5"/>
    <n v="1320000"/>
    <n v="0"/>
    <n v="0"/>
    <n v="1320000"/>
    <n v="264"/>
    <m/>
    <n v="73733323"/>
    <m/>
  </r>
  <r>
    <s v="FE-2018-2019-0109"/>
    <s v="2020-000146"/>
    <x v="76"/>
    <d v="2019-09-20T00:00:00"/>
    <s v="19/9/2022"/>
    <s v="INCENT FEDE"/>
    <s v="Contract"/>
    <s v="C7085"/>
    <s v="COOPERVISION CARIBBEAN CORP."/>
    <s v="C7085 - COOPERVISION CARIBBEAN CORP."/>
    <s v="JUANA DIAZ"/>
    <s v="Medical Device"/>
    <x v="1"/>
    <n v="3400000"/>
    <n v="0"/>
    <n v="0"/>
    <n v="3400000"/>
    <n v="0"/>
    <n v="230000000"/>
    <m/>
    <m/>
  </r>
  <r>
    <s v="FE-2018-2019-0108"/>
    <s v="2020-000148"/>
    <x v="76"/>
    <d v="2019-09-20T00:00:00"/>
    <s v="19/9/2024"/>
    <s v="INCENT FEDE"/>
    <s v="Contract"/>
    <s v="C7085"/>
    <s v="COOPERVISION CARIBBEAN CORP."/>
    <s v="C7085 - COOPERVISION CARIBBEAN CORP."/>
    <s v="JUANA DIAZ"/>
    <s v="Medical Device"/>
    <x v="2"/>
    <n v="4500000"/>
    <n v="0"/>
    <n v="4050000"/>
    <n v="450000"/>
    <n v="0"/>
    <n v="150000000"/>
    <m/>
    <m/>
  </r>
  <r>
    <s v="FE-2017-2018-0025"/>
    <s v="2018-000346"/>
    <x v="33"/>
    <d v="2018-04-11T00:00:00"/>
    <d v="2023-10-04T00:00:00"/>
    <s v="INCENT FEDE"/>
    <s v="Contract"/>
    <s v="C0739"/>
    <s v="COPAN INDUSTRIES, INC."/>
    <s v="C0739 - COPAN INDUSTRIES, INC."/>
    <s v="AGUADILLA"/>
    <s v="Dispositivos Médicos"/>
    <x v="5"/>
    <n v="400000"/>
    <n v="0"/>
    <n v="0"/>
    <n v="400000"/>
    <n v="100"/>
    <m/>
    <n v="3000000"/>
    <m/>
  </r>
  <r>
    <s v="FE-2017-2018-0026"/>
    <s v="2018-000347"/>
    <x v="33"/>
    <d v="2018-04-11T00:00:00"/>
    <d v="2023-10-04T00:00:00"/>
    <s v="INCENT FEDE"/>
    <s v="Contract"/>
    <s v="C0739"/>
    <s v="COPAN INDUSTRIES, INC."/>
    <s v="C0739 - COPAN INDUSTRIES, INC."/>
    <s v="AGUADILLA"/>
    <s v="Dispositivos Médicos"/>
    <x v="1"/>
    <n v="700000"/>
    <n v="0"/>
    <n v="0"/>
    <n v="700000"/>
    <n v="0"/>
    <n v="8000000"/>
    <m/>
    <m/>
  </r>
  <r>
    <s v="FIE-2016-2017-IIP-0004"/>
    <s v="2017-000350"/>
    <x v="6"/>
    <d v="2017-02-13T00:00:00"/>
    <s v=""/>
    <s v="INCENT ESP"/>
    <s v="Contract"/>
    <s v="C0687"/>
    <s v="CORDERO TORRESOLA, LILLIAM"/>
    <s v="C0687 - CORDERO TORRESOLA, LILLIAM"/>
    <s v="SAN JUAN"/>
    <s v="Programa Artesanía"/>
    <x v="4"/>
    <n v="900"/>
    <n v="0"/>
    <n v="900"/>
    <n v="0"/>
    <n v="0"/>
    <s v=""/>
    <s v=""/>
    <m/>
  </r>
  <r>
    <s v="FIE-2018-2019-IIP-0036"/>
    <s v="2021-000002"/>
    <x v="22"/>
    <d v="2020-07-06T00:00:00"/>
    <s v=""/>
    <s v="INCENT ESP"/>
    <s v="Contract"/>
    <s v="C0858"/>
    <s v="CORDEX AGRO, LLC"/>
    <s v="C0858 - CORDEX AGRO, LLC"/>
    <s v="SAN JUAN"/>
    <s v="Alimentos"/>
    <x v="10"/>
    <n v="131068.27"/>
    <n v="0"/>
    <n v="0"/>
    <n v="131068.27"/>
    <n v="0"/>
    <n v="262136"/>
    <n v="60320"/>
    <m/>
  </r>
  <r>
    <s v="FIE-2019-2020-IIP-0021"/>
    <s v="2020-000277"/>
    <x v="7"/>
    <d v="2019-12-13T00:00:00"/>
    <s v=""/>
    <s v="INCENT ESP"/>
    <s v="Contract"/>
    <s v="C0833"/>
    <s v="CORIANO SANCHEZ, DAVID "/>
    <s v="C0833 - CORIANO SANCHEZ, DAVID "/>
    <s v="SAN JUAN"/>
    <s v="Programa Artesanía"/>
    <x v="4"/>
    <n v="100"/>
    <n v="0"/>
    <n v="100"/>
    <n v="0"/>
    <n v="0"/>
    <s v=""/>
    <s v=""/>
    <m/>
  </r>
  <r>
    <s v="FIE60-2020-2021-0075"/>
    <s v="En Proceso"/>
    <x v="31"/>
    <s v="En Proceso"/>
    <s v=""/>
    <s v="INCENT LEY 60"/>
    <s v="Assignment"/>
    <s v="C8750"/>
    <s v="CORPORACION COMUNITARIA RECICLAJE DEL NORTE, INC. P.T."/>
    <s v="C8750 - CORPORACION COMUNITARIA RECICLAJE DEL NORTE, INC. P.T."/>
    <s v="ARECIBO"/>
    <s v="Reciclaje"/>
    <x v="8"/>
    <n v="25250"/>
    <n v="0"/>
    <n v="0"/>
    <n v="25250"/>
    <n v="24"/>
    <s v=""/>
    <n v="361920"/>
    <n v="2.4500000000000002"/>
  </r>
  <r>
    <s v="FIE60-2020-2021-0076"/>
    <s v="En Proceso"/>
    <x v="31"/>
    <s v="En Proceso"/>
    <s v=""/>
    <s v="INCENT LEY 60"/>
    <s v="Assignment"/>
    <s v="C8750"/>
    <s v="CORPORACION COMUNITARIA RECICLAJE DEL NORTE, INC. P.T."/>
    <s v="C8750 - CORPORACION COMUNITARIA RECICLAJE DEL NORTE, INC. P.T."/>
    <s v="ARECIBO"/>
    <s v="Reciclaje"/>
    <x v="9"/>
    <n v="223685"/>
    <n v="0"/>
    <n v="0"/>
    <n v="223685"/>
    <n v="0"/>
    <n v="280000"/>
    <s v=""/>
    <n v="2.4500000000000002"/>
  </r>
  <r>
    <s v="FE-2017-2018-0023"/>
    <s v="2020-000185"/>
    <x v="77"/>
    <d v="2019-10-22T00:00:00"/>
    <s v="21/10/2020"/>
    <s v="INCENT FEDE"/>
    <s v="Contract"/>
    <s v="C0743"/>
    <s v="CORPORACION PARA DESARROLLO DE INVESTIGACIONES"/>
    <s v="C0743 - CORPORACION PARA DESARROLLO DE INVESTIGACIONES"/>
    <s v="PONCE"/>
    <s v="Para fomentar la investigación en grados escolares - Año 2"/>
    <x v="14"/>
    <n v="263000"/>
    <n v="0"/>
    <n v="263000"/>
    <n v="0"/>
    <n v="0"/>
    <s v=""/>
    <s v=""/>
    <m/>
  </r>
  <r>
    <s v="FE-2017-2018-0003"/>
    <s v="2018-000357"/>
    <x v="77"/>
    <d v="2018-04-24T00:00:00"/>
    <s v="23/4/2019"/>
    <s v="INCENT FEDE"/>
    <s v="Contract"/>
    <s v="C0743"/>
    <s v="CORPORACION PARA DESARROLLO DE INVESTIGACIONES"/>
    <s v="C0743 - CORPORACION PARA DESARROLLO DE INVESTIGACIONES"/>
    <s v="PONCE"/>
    <s v="Promover y apoyar el interés por la investigación científica en los estudiantes "/>
    <x v="14"/>
    <n v="300000"/>
    <n v="0"/>
    <n v="300000"/>
    <n v="0"/>
    <n v="0"/>
    <s v=""/>
    <s v=""/>
    <m/>
  </r>
  <r>
    <s v="FE-2017-2018-0024"/>
    <s v="En Proceso"/>
    <x v="77"/>
    <s v="En Proceso"/>
    <s v=""/>
    <s v="INCENT FEDE"/>
    <s v="Assignment"/>
    <m/>
    <s v="CORPORACIÓN PARA EL DESARROLLO DE INVESTIGACIONES EN CIENCIAS Y TECNOLOGÍAS PONCE C.D."/>
    <s v="CORPORACIÓN PARA EL DESARROLLO DE INVESTIGACIONES EN CIENCIAS Y TECNOLOGÍAS PONCE C.D."/>
    <s v="PONCE"/>
    <s v="Para fomentar la investigación en grados escolares - Año 3 "/>
    <x v="14"/>
    <n v="200000"/>
    <n v="0"/>
    <n v="0"/>
    <n v="200000"/>
    <n v="0"/>
    <s v=""/>
    <s v=""/>
    <m/>
  </r>
  <r>
    <s v="FIE-2017-2018-IIP-0008"/>
    <s v="2019-000115"/>
    <x v="24"/>
    <d v="2018-09-12T00:00:00"/>
    <s v=""/>
    <s v="INCENT ESP"/>
    <s v="Contract"/>
    <s v="C0691"/>
    <s v="CORTES HERMANOS, LLC"/>
    <s v="C0691 - CORTES HERMANOS, LLC"/>
    <s v="SAN JUAN"/>
    <s v="Alimentos"/>
    <x v="0"/>
    <n v="50000"/>
    <n v="0"/>
    <n v="27841.79"/>
    <n v="22158.21"/>
    <n v="0"/>
    <s v=""/>
    <s v=""/>
    <m/>
  </r>
  <r>
    <s v="FIE-2018-2019-IIP-0012"/>
    <s v="2019-000383"/>
    <x v="2"/>
    <d v="2019-03-29T00:00:00"/>
    <s v=""/>
    <s v="INCENT ESP"/>
    <s v="Contract"/>
    <s v="C0772"/>
    <s v="COTTO BARADA, EDWIN"/>
    <s v="C0772 - COTTO BARADA, EDWIN"/>
    <s v="SAN JUAN"/>
    <s v="Programa Artesanía"/>
    <x v="4"/>
    <n v="1050"/>
    <n v="0"/>
    <n v="1050"/>
    <n v="0"/>
    <n v="0"/>
    <s v=""/>
    <s v=""/>
    <m/>
  </r>
  <r>
    <s v="FIE-2018-2019-IIP-0030"/>
    <s v="2020-000421"/>
    <x v="20"/>
    <d v="2020-05-08T00:00:00"/>
    <s v=""/>
    <s v="INCENT ESP"/>
    <s v="Contract"/>
    <s v="C0851"/>
    <s v="CREATIVE STARTUPS LLC"/>
    <s v="C0851 - CREATIVE STARTUPS LLC"/>
    <s v="SAN JUAN"/>
    <s v="Tecnología"/>
    <x v="7"/>
    <n v="80000"/>
    <n v="0"/>
    <n v="80000"/>
    <n v="0"/>
    <n v="0"/>
    <s v=""/>
    <s v=""/>
    <m/>
  </r>
  <r>
    <s v="FIE60-2020-2021-0013"/>
    <s v="En Proceso"/>
    <x v="66"/>
    <s v="En Proceso"/>
    <s v=""/>
    <s v="INCENT LEY 60"/>
    <s v="Assignment"/>
    <m/>
    <s v="CREDIT RX LLC"/>
    <s v="CREDIT RX LLC"/>
    <s v="MAYAGUEZ"/>
    <s v="Call Center"/>
    <x v="8"/>
    <n v="16500"/>
    <n v="0"/>
    <n v="0"/>
    <n v="16500"/>
    <n v="11"/>
    <m/>
    <n v="195000"/>
    <n v="0.84"/>
  </r>
  <r>
    <s v="FIE60-2020-2021-0014"/>
    <s v="En Proceso"/>
    <x v="66"/>
    <s v="En Proceso"/>
    <s v=""/>
    <s v="INCENT LEY 60"/>
    <s v="Assignment"/>
    <m/>
    <s v="CREDIT RX LLC"/>
    <s v="CREDIT RX LLC"/>
    <s v="MAYAGUEZ"/>
    <s v="Call Center"/>
    <x v="9"/>
    <n v="20000"/>
    <n v="0"/>
    <n v="0"/>
    <n v="20000"/>
    <n v="0"/>
    <n v="40000"/>
    <m/>
    <n v="0.84"/>
  </r>
  <r>
    <s v="FIE-2019-2020-IIP-0066"/>
    <s v="2020-000234"/>
    <x v="78"/>
    <d v="2019-11-12T00:00:00"/>
    <s v=""/>
    <s v="INCENT ESP"/>
    <s v="Contract"/>
    <s v="C0828"/>
    <s v="CRIOLITE CORP."/>
    <s v="C0828 - CRIOLITE CORP."/>
    <s v="CAGUAS"/>
    <s v="Alimentos"/>
    <x v="5"/>
    <n v="24000"/>
    <n v="0"/>
    <n v="18000"/>
    <n v="6000"/>
    <n v="12"/>
    <m/>
    <n v="283920"/>
    <m/>
  </r>
  <r>
    <s v="FIE-2019-2020-IIP-0036"/>
    <s v="2020-000235"/>
    <x v="78"/>
    <d v="2019-11-12T00:00:00"/>
    <s v=""/>
    <s v="INCENT ESP"/>
    <s v="Contract"/>
    <s v="C0828"/>
    <s v="CRIOLITE CORP."/>
    <s v="C0828 - CRIOLITE CORP."/>
    <s v="CAGUAS"/>
    <s v="Alimentos"/>
    <x v="2"/>
    <n v="91000"/>
    <n v="0"/>
    <n v="38265.480000000003"/>
    <n v="52734.52"/>
    <n v="0"/>
    <n v="274935"/>
    <m/>
    <m/>
  </r>
  <r>
    <s v="FIE-2016-2017-IIP-0057"/>
    <s v="En Proceso"/>
    <x v="79"/>
    <s v="En Proceso"/>
    <s v=""/>
    <s v="INCENT ESP"/>
    <s v="Assignment"/>
    <m/>
    <s v="CRISTALES CURVOS Y TEMPLADOS JMMC, INC."/>
    <s v="CRISTALES CURVOS Y TEMPLADOS JMMC, INC."/>
    <s v="SAN JUAN"/>
    <s v="Manufactura"/>
    <x v="5"/>
    <n v="13500"/>
    <n v="0"/>
    <n v="0"/>
    <n v="13500"/>
    <n v="15"/>
    <n v="15230"/>
    <n v="226200"/>
    <m/>
  </r>
  <r>
    <s v="FIE-2019-2020-IIP-0021"/>
    <s v="2020-000303"/>
    <x v="7"/>
    <d v="2020-01-21T00:00:00"/>
    <s v=""/>
    <s v="INCENT ESP"/>
    <s v="Contract"/>
    <s v="C0843"/>
    <s v="CRUZ GONZALEZ, JAIME"/>
    <s v="C0843 - CRUZ GONZALEZ, JAIME"/>
    <s v="SAN JUAN"/>
    <s v="Programa Artesanía"/>
    <x v="4"/>
    <n v="2500"/>
    <n v="0"/>
    <n v="2500"/>
    <n v="0"/>
    <n v="0"/>
    <s v=""/>
    <s v=""/>
    <m/>
  </r>
  <r>
    <s v="FIE-2019-2020-IIP-0021"/>
    <s v="2020-000265"/>
    <x v="7"/>
    <d v="2019-12-06T00:00:00"/>
    <s v=""/>
    <s v="INCENT ESP"/>
    <s v="Contract"/>
    <s v="C0459"/>
    <s v="CRUZ SANTIAGO, ROBERTO"/>
    <s v="C0459 - CRUZ SANTIAGO, ROBERTO"/>
    <s v="SAN JUAN"/>
    <s v="Programa Artesanía"/>
    <x v="4"/>
    <n v="100"/>
    <n v="0"/>
    <n v="100"/>
    <n v="0"/>
    <n v="0"/>
    <s v=""/>
    <s v=""/>
    <m/>
  </r>
  <r>
    <s v="FE-2018-2019-0067"/>
    <s v="2019-000335-A"/>
    <x v="32"/>
    <d v="2019-02-28T00:00:00"/>
    <s v="31/5/2019"/>
    <s v="INCENT FEDE"/>
    <s v="Contract"/>
    <s v="C0766"/>
    <s v="CUBE GROUP, INC."/>
    <s v="C0766 - CUBE GROUP, INC."/>
    <s v="SAN JUAN"/>
    <s v="Producción de la 11ma edición del Americas Competitiveness Exchange on Innovation and Entrepreneurship (ACE) "/>
    <x v="0"/>
    <n v="146648.76"/>
    <m/>
    <n v="146648.76"/>
    <n v="0"/>
    <n v="0"/>
    <s v=""/>
    <s v=""/>
    <m/>
  </r>
  <r>
    <s v="FIE-2016-2017-IIE-0062"/>
    <s v="2018-000150"/>
    <x v="80"/>
    <d v="2017-06-15T00:00:00"/>
    <s v=""/>
    <s v="INCENT ESP"/>
    <s v="Contract"/>
    <s v="C9830"/>
    <s v="CURTIS INSTRUMENTS P.R., INC."/>
    <s v="C9830 - CURTIS INSTRUMENTS P.R., INC."/>
    <s v="CAROLINA"/>
    <s v="Electronic Controls"/>
    <x v="5"/>
    <n v="50000"/>
    <n v="0"/>
    <n v="50000"/>
    <n v="0"/>
    <n v="20"/>
    <n v="1725000"/>
    <n v="302000"/>
    <m/>
  </r>
  <r>
    <s v="FIE-2018-2019-IIP-0006"/>
    <s v="2019-000118"/>
    <x v="81"/>
    <d v="2018-09-14T00:00:00"/>
    <s v=""/>
    <s v="INCENT ESP"/>
    <s v="Contract"/>
    <s v="C0734"/>
    <s v="CUSTOM MANUFACTURING CORP."/>
    <s v="C0734 - CUSTOM MANUFACTURING CORP."/>
    <s v="BAYAMON"/>
    <s v="AIR CONDITIONER DUCTS"/>
    <x v="5"/>
    <n v="6000"/>
    <n v="0"/>
    <n v="6000"/>
    <n v="0"/>
    <n v="12"/>
    <n v="36790"/>
    <n v="336000"/>
    <m/>
  </r>
  <r>
    <s v="FIE-2018-2019-IIP-0029"/>
    <s v="2019-000387"/>
    <x v="82"/>
    <d v="2019-03-28T00:00:00"/>
    <s v=""/>
    <s v="INCENT ESP"/>
    <s v="Contract"/>
    <s v="C0734"/>
    <s v="CUSTOM MANUFACTURING CORP."/>
    <s v="C0734 - CUSTOM MANUFACTURING CORP."/>
    <s v="BAYAMON"/>
    <s v="AIR CONDITIONER DUCTS"/>
    <x v="2"/>
    <n v="50000"/>
    <n v="0"/>
    <n v="50000"/>
    <n v="0"/>
    <n v="0"/>
    <n v="118000"/>
    <n v="0"/>
    <m/>
  </r>
  <r>
    <s v="FIE-2018-2019-IIP-0030"/>
    <s v="2019-000328"/>
    <x v="20"/>
    <d v="2019-03-06T00:00:00"/>
    <s v=""/>
    <s v="INCENT ESP"/>
    <s v="Contract"/>
    <s v="C0762"/>
    <s v="CUTTING EDGE SUPERCONDUCTORS, INC."/>
    <s v="C0762 - CUTTING EDGE SUPERCONDUCTORS, INC."/>
    <s v="SAN JUAN"/>
    <s v="Manufactura"/>
    <x v="7"/>
    <n v="50000"/>
    <n v="0"/>
    <n v="25000"/>
    <n v="25000"/>
    <n v="0"/>
    <s v=""/>
    <s v=""/>
    <m/>
  </r>
  <r>
    <s v="FIE-2018-2019-IIP-0013"/>
    <s v="2019-000275"/>
    <x v="2"/>
    <d v="2019-02-11T00:00:00"/>
    <s v=""/>
    <s v="INCENT ESP"/>
    <s v="Contract"/>
    <s v="D0048"/>
    <s v="DANIEL ROSA ARTURET"/>
    <s v="D0048 - DANIEL ROSA ARTURET"/>
    <s v="SAN JUAN"/>
    <s v="Programa Artesanía"/>
    <x v="4"/>
    <n v="991.5"/>
    <n v="0"/>
    <n v="991.5"/>
    <n v="0"/>
    <n v="0"/>
    <s v=""/>
    <s v=""/>
    <m/>
  </r>
  <r>
    <s v="FIE-2017-2018-IIP-0028"/>
    <s v="2018-000213"/>
    <x v="83"/>
    <d v="2017-12-27T00:00:00"/>
    <s v=""/>
    <s v="INCENT ESP"/>
    <s v="Contract"/>
    <s v="D0700"/>
    <s v="DANOSA CARIBBEAN, INC."/>
    <s v="D0700 - DANOSA CARIBBEAN, INC."/>
    <s v="SAN JUAN"/>
    <s v="Incentivo de Emergencias Huracanes - Generadores"/>
    <x v="3"/>
    <n v="25000"/>
    <n v="0"/>
    <n v="25000"/>
    <n v="0"/>
    <n v="0"/>
    <s v=""/>
    <s v=""/>
    <m/>
  </r>
  <r>
    <s v="FIE-2018-2019-IIP-0036"/>
    <s v="2021-000018"/>
    <x v="22"/>
    <d v="2020-07-17T00:00:00"/>
    <s v=""/>
    <s v="INCENT ESP"/>
    <s v="Contract"/>
    <s v="D0311"/>
    <s v="DASALY INCORPORADO"/>
    <s v="D0311 - DASALY INCORPORADO"/>
    <s v="SAN JUAN"/>
    <s v="Alimentos"/>
    <x v="10"/>
    <n v="254814"/>
    <n v="0"/>
    <n v="0"/>
    <n v="254814"/>
    <n v="0"/>
    <n v="339753"/>
    <n v="80538"/>
    <m/>
  </r>
  <r>
    <s v="FIE-2017-2018-IIP-0004"/>
    <s v="2018-000147"/>
    <x v="24"/>
    <d v="2017-11-02T00:00:00"/>
    <s v=""/>
    <s v="INCENT ESP"/>
    <s v="Contract"/>
    <s v="D0092"/>
    <s v="DE JESUS DE JESUS, RICARDO"/>
    <s v="D0092 - DE JESUS DE JESUS, RICARDO"/>
    <s v="SAN JUAN"/>
    <s v="Programa Artesanía"/>
    <x v="4"/>
    <n v="1080"/>
    <n v="0"/>
    <n v="1080"/>
    <n v="0"/>
    <n v="0"/>
    <s v=""/>
    <s v=""/>
    <m/>
  </r>
  <r>
    <s v="FIE-2019-2020-IIP-0021"/>
    <s v="2020-000389"/>
    <x v="7"/>
    <d v="2020-03-02T00:00:00"/>
    <s v=""/>
    <s v="INCENT ESP"/>
    <s v="Contract"/>
    <s v="D0092"/>
    <s v="DE JESUS DE JESUS, RICARDO"/>
    <s v="D0092 - DE JESUS DE JESUS, RICARDO"/>
    <s v="SAN JUAN"/>
    <s v="Programa Artesanía"/>
    <x v="4"/>
    <n v="1260"/>
    <n v="0"/>
    <n v="0"/>
    <n v="1260"/>
    <n v="0"/>
    <s v=""/>
    <s v=""/>
    <m/>
  </r>
  <r>
    <s v="FIE-2017-2018-IIP-0106"/>
    <s v="En Proceso"/>
    <x v="84"/>
    <s v="En Proceso"/>
    <s v=""/>
    <s v="INCENT ESP"/>
    <s v="Assignment"/>
    <m/>
    <s v="DEFPAC CORP."/>
    <s v="DEFPAC CORP."/>
    <s v="BAYAMON"/>
    <s v="Manufactura"/>
    <x v="5"/>
    <n v="4800"/>
    <n v="0"/>
    <n v="0"/>
    <n v="4800"/>
    <n v="12"/>
    <n v="250000"/>
    <n v="180960"/>
    <m/>
  </r>
  <r>
    <s v="FIE-2018-2019-IIP-0013"/>
    <s v="2019-000442-A"/>
    <x v="2"/>
    <d v="2019-06-10T00:00:00"/>
    <s v=""/>
    <s v="INCENT ESP"/>
    <s v="Contract"/>
    <s v="D0303"/>
    <s v="DELGADO GARCIA, MYRIAM E."/>
    <s v="D0303 - DELGADO GARCIA, MYRIAM E."/>
    <s v="SAN JUAN"/>
    <s v="Programa Artesanía"/>
    <x v="4"/>
    <n v="998.09"/>
    <n v="261"/>
    <n v="737.09"/>
    <n v="0"/>
    <n v="0"/>
    <s v=""/>
    <s v=""/>
    <m/>
  </r>
  <r>
    <s v="FIE60-2020-2021-0040"/>
    <s v="En Proceso"/>
    <x v="39"/>
    <s v="En Proceso"/>
    <s v=""/>
    <s v="INCENT LEY 60"/>
    <s v="Assignment"/>
    <m/>
    <s v="DELTA HEALTH LLC."/>
    <s v="DELTA HEALTH LLC."/>
    <s v="SAN JUAN"/>
    <s v="Call Center"/>
    <x v="8"/>
    <n v="2387500"/>
    <n v="0"/>
    <n v="0"/>
    <n v="2387500"/>
    <n v="955"/>
    <m/>
    <n v="33113600"/>
    <n v="0.68"/>
  </r>
  <r>
    <s v="FIE60-2020-2021-0041"/>
    <s v="En Proceso"/>
    <x v="39"/>
    <s v="En Proceso"/>
    <s v=""/>
    <s v="INCENT LEY 60"/>
    <s v="Assignment"/>
    <m/>
    <s v="DELTA HEALTH LLC."/>
    <s v="DELTA HEALTH LLC."/>
    <s v="SAN JUAN"/>
    <s v="Call Center"/>
    <x v="9"/>
    <n v="1000000"/>
    <n v="0"/>
    <n v="0"/>
    <n v="1000000"/>
    <n v="0"/>
    <n v="2000000"/>
    <m/>
    <n v="0.68"/>
  </r>
  <r>
    <s v="FE-2019-2020-0042"/>
    <s v="En Proceso"/>
    <x v="85"/>
    <s v="En Proceso"/>
    <s v=""/>
    <s v="INCENT FEDE"/>
    <s v="Assignment"/>
    <m/>
    <s v="DEPARTAMENTO DE DESARROLLO ECONOMICO Y COMERCIO"/>
    <s v="DEPARTAMENTO DE DESARROLLO ECONOMICO Y COMERCIO"/>
    <s v="SAN JUAN"/>
    <s v="Presupuesto para Desarrollo de Negocios"/>
    <x v="17"/>
    <n v="3550000"/>
    <n v="0"/>
    <n v="3550000"/>
    <n v="0"/>
    <n v="0"/>
    <s v=""/>
    <s v=""/>
    <m/>
  </r>
  <r>
    <s v="FE-2019-2020-0099"/>
    <s v="En Proceso"/>
    <x v="4"/>
    <s v="En Proceso"/>
    <s v=""/>
    <s v="INCENT FEDE"/>
    <s v="Assignment"/>
    <m/>
    <s v="DEPARTAMENTO DE DESARROLLO ECONOMICO Y COMERCIO"/>
    <s v="DEPARTAMENTO DE DESARROLLO ECONOMICO Y COMERCIO"/>
    <s v="SAN JUAN"/>
    <s v="Promoción de Puerto Rico Ley 13-2017 FY19-20"/>
    <x v="14"/>
    <n v="2500000"/>
    <n v="0"/>
    <n v="2500000"/>
    <n v="0"/>
    <n v="0"/>
    <s v=""/>
    <s v=""/>
    <m/>
  </r>
  <r>
    <s v="FE-2019-2020-0092"/>
    <s v="En Proceso"/>
    <x v="86"/>
    <s v="En Proceso"/>
    <s v=""/>
    <s v="INCENT FEDE"/>
    <s v="Assignment"/>
    <m/>
    <s v="DEPARTAMENTO DE DESARROLLO ECONOMICO Y COMERCIO"/>
    <s v="DEPARTAMENTO DE DESARROLLO ECONOMICO Y COMERCIO"/>
    <s v="SAN JUAN"/>
    <s v="Programa de Emergencia para Pymes - Terremotos del Sur"/>
    <x v="17"/>
    <n v="2500000"/>
    <n v="0"/>
    <n v="2500000"/>
    <n v="0"/>
    <n v="0"/>
    <s v=""/>
    <s v=""/>
    <m/>
  </r>
  <r>
    <s v="FE-2019-2020-0041"/>
    <s v="2020-000113"/>
    <x v="7"/>
    <d v="2019-08-30T00:00:00"/>
    <s v="29/8/2020"/>
    <s v="INCENT FEDE"/>
    <s v="Contract"/>
    <s v="D0257"/>
    <s v="DEPTO. DESARROLLO ECONOMICO Y COMERCIO"/>
    <s v="D0257 - DEPTO. DESARROLLO ECONOMICO Y COMERCIO"/>
    <s v="SAN JUAN"/>
    <s v="Transferencia al Programa de Desarrollo de la Juventud"/>
    <x v="17"/>
    <n v="1452000"/>
    <n v="0"/>
    <n v="1452000"/>
    <n v="0"/>
    <n v="0"/>
    <s v=""/>
    <s v=""/>
    <m/>
  </r>
  <r>
    <s v="FIE-2017-2018-IIP-0045"/>
    <s v="2018-000199"/>
    <x v="61"/>
    <d v="2017-12-16T00:00:00"/>
    <s v=""/>
    <s v="INCENT ESP"/>
    <s v="Contract"/>
    <s v="D0194"/>
    <s v="DESTILERIA COQUI, INC."/>
    <s v="D0194 - DESTILERIA COQUI, INC."/>
    <s v="SAN JUAN"/>
    <s v="Incentivo de Emergencias Huracanes - Generadores"/>
    <x v="3"/>
    <n v="4797"/>
    <n v="0"/>
    <n v="4797"/>
    <n v="0"/>
    <n v="0"/>
    <s v=""/>
    <s v=""/>
    <m/>
  </r>
  <r>
    <s v="FE-2019-2020-0006"/>
    <s v="En Proceso"/>
    <x v="4"/>
    <s v="En Proceso"/>
    <s v=""/>
    <s v="INCENT FEDE"/>
    <s v="Assignment"/>
    <m/>
    <s v="DESTILERIA CRUZ CORP."/>
    <s v="DESTILERIA CRUZ CORP."/>
    <s v="SAN JUAN"/>
    <s v="Industria del Ron"/>
    <x v="5"/>
    <n v="40000"/>
    <n v="0"/>
    <n v="0"/>
    <n v="40000"/>
    <n v="25"/>
    <s v=""/>
    <s v=""/>
    <m/>
  </r>
  <r>
    <s v="FE-2019-2020-0007"/>
    <s v="En Proceso"/>
    <x v="4"/>
    <s v="En Proceso"/>
    <s v=""/>
    <s v="INCENT FEDE"/>
    <s v="Assignment"/>
    <m/>
    <s v="DESTILERIA CRUZ CORP."/>
    <s v="DESTILERIA CRUZ CORP."/>
    <s v="SAN JUAN"/>
    <s v="Industria del Ron"/>
    <x v="2"/>
    <n v="297270"/>
    <n v="0"/>
    <n v="0"/>
    <n v="297270"/>
    <n v="0"/>
    <s v=""/>
    <s v=""/>
    <m/>
  </r>
  <r>
    <s v="FIE-2019-2020-IIP-0106"/>
    <s v="En Proceso"/>
    <x v="87"/>
    <s v="En Proceso"/>
    <s v=""/>
    <s v="INCENT ESP"/>
    <s v="Assignment"/>
    <m/>
    <s v="DESTILERÍA NACIONAL, INC."/>
    <s v="DESTILERÍA NACIONAL,INC."/>
    <s v="SAN JUAN"/>
    <s v="Industria del Ron"/>
    <x v="5"/>
    <n v="8000"/>
    <n v="0"/>
    <n v="0"/>
    <n v="8000"/>
    <n v="16"/>
    <m/>
    <n v="390000"/>
    <m/>
  </r>
  <r>
    <s v="FIE-2019-2020-IIP-0107"/>
    <s v="En Proceso"/>
    <x v="87"/>
    <s v="En Proceso"/>
    <s v=""/>
    <s v="INCENT ESP"/>
    <s v="Assignment"/>
    <m/>
    <s v="DESTILERÍA NACIONAL, INC."/>
    <s v="DESTILERÍA NACIONAL,INC."/>
    <s v="SAN JUAN"/>
    <s v="Industria del Ron"/>
    <x v="2"/>
    <n v="242000"/>
    <n v="0"/>
    <n v="0"/>
    <n v="242000"/>
    <n v="0"/>
    <n v="1500000"/>
    <m/>
    <m/>
  </r>
  <r>
    <s v="FIE-2016-2017-IEE-0013"/>
    <s v="2016-000561-C"/>
    <x v="44"/>
    <d v="2016-09-27T00:00:00"/>
    <s v=""/>
    <s v="INCENT ESP"/>
    <s v="Contract"/>
    <s v="D3600"/>
    <s v="DIAZ BROTHERS, INC."/>
    <s v="D3600 - DIAZ BROTHERS, INC."/>
    <s v="JUANA DIAZ"/>
    <s v="Muebles"/>
    <x v="6"/>
    <n v="5323"/>
    <n v="0"/>
    <n v="5323"/>
    <n v="0"/>
    <n v="0"/>
    <s v=""/>
    <s v=""/>
    <m/>
  </r>
  <r>
    <s v="FIE-2016-2017-IEE-0043"/>
    <s v="2017-000345"/>
    <x v="88"/>
    <d v="2017-02-13T00:00:00"/>
    <s v=""/>
    <s v="INCENT ESP"/>
    <s v="Contract"/>
    <s v="D3600"/>
    <s v="DIAZ BROTHERS, INC."/>
    <s v="D3600 - DIAZ BROTHERS, INC."/>
    <s v="JUANA DIAZ"/>
    <s v="Muebles"/>
    <x v="6"/>
    <n v="5015"/>
    <n v="0"/>
    <n v="5015"/>
    <n v="0"/>
    <n v="0"/>
    <s v=""/>
    <s v=""/>
    <m/>
  </r>
  <r>
    <s v="FIE-2016-2017-IIP-0063"/>
    <s v="2018-000166"/>
    <x v="89"/>
    <d v="2017-12-08T00:00:00"/>
    <s v=""/>
    <s v="INCENT ESP"/>
    <s v="Contract"/>
    <s v="D3600"/>
    <s v="DIAZ BROTHERS, INC."/>
    <s v="D3600 - DIAZ BROTHERS, INC."/>
    <s v="JUANA DIAZ"/>
    <s v="Muebles"/>
    <x v="5"/>
    <n v="34900"/>
    <n v="0"/>
    <n v="34900"/>
    <n v="0"/>
    <n v="0"/>
    <n v="82563"/>
    <n v="165880"/>
    <m/>
  </r>
  <r>
    <s v="FIE-2018-2019-IEE-0034"/>
    <s v="2019-000327"/>
    <x v="90"/>
    <d v="2019-03-06T00:00:00"/>
    <s v=""/>
    <s v="INCENT ESP"/>
    <s v="Contract"/>
    <s v="D3600"/>
    <s v="DIAZ BROTHERS, INC."/>
    <s v="D3600 - DIAZ BROTHERS, INC."/>
    <s v="JUANA DIAZ"/>
    <s v="Muebles"/>
    <x v="6"/>
    <n v="6220"/>
    <n v="0"/>
    <n v="6220"/>
    <n v="0"/>
    <n v="0"/>
    <s v=""/>
    <s v=""/>
    <m/>
  </r>
  <r>
    <s v="FIE-2018-2019-IEE-0069"/>
    <s v="2019-000327-A"/>
    <x v="13"/>
    <d v="2019-05-08T00:00:00"/>
    <s v=""/>
    <s v="INCENT ESP"/>
    <s v="Contract"/>
    <s v="D3600"/>
    <s v="DIAZ BROTHERS, INC."/>
    <s v="D3600 - DIAZ BROTHERS, INC."/>
    <s v="JUANA DIAZ"/>
    <s v="Muebles"/>
    <x v="6"/>
    <n v="7225"/>
    <n v="0"/>
    <n v="7225"/>
    <n v="0"/>
    <n v="0"/>
    <s v=""/>
    <s v=""/>
    <m/>
  </r>
  <r>
    <s v="FIE-2018-2019-IEE-0077"/>
    <s v="2019-000327-B"/>
    <x v="91"/>
    <d v="2019-06-28T00:00:00"/>
    <s v=""/>
    <s v="INCENT ESP"/>
    <s v="Contract"/>
    <s v="D3600"/>
    <s v="DIAZ BROTHERS, INC."/>
    <s v="D3600 - DIAZ BROTHERS, INC."/>
    <s v="JUANA DIAZ"/>
    <s v="Muebles"/>
    <x v="6"/>
    <n v="6605"/>
    <n v="0"/>
    <n v="6605"/>
    <n v="0"/>
    <n v="0"/>
    <s v=""/>
    <s v=""/>
    <m/>
  </r>
  <r>
    <s v="FIE-2019-2020-IEE-0040"/>
    <s v="2019-000327-C"/>
    <x v="46"/>
    <d v="2019-11-06T00:00:00"/>
    <s v=""/>
    <s v="INCENT ESP"/>
    <s v="Contract"/>
    <s v="D3600"/>
    <s v="DIAZ BROTHERS, INC."/>
    <s v="D3600 - DIAZ BROTHERS, INC."/>
    <s v="JUANA DIAZ"/>
    <s v="Muebles"/>
    <x v="6"/>
    <n v="6195"/>
    <n v="0"/>
    <n v="6195"/>
    <n v="0"/>
    <n v="0"/>
    <s v=""/>
    <s v=""/>
    <m/>
  </r>
  <r>
    <s v="FIE-2019-2020-IEE-0122"/>
    <s v="2020-000444"/>
    <x v="92"/>
    <d v="2020-06-28T00:00:00"/>
    <s v=""/>
    <s v="INCENT ESP"/>
    <s v="Contract"/>
    <s v="D3600"/>
    <s v="DIAZ BROTHERS, INC."/>
    <s v="D3600 - DIAZ BROTHERS, INC."/>
    <s v="JUANA DIAZ"/>
    <s v="Muebles"/>
    <x v="6"/>
    <n v="5549"/>
    <n v="0"/>
    <n v="5549"/>
    <n v="0"/>
    <n v="0"/>
    <s v=""/>
    <s v=""/>
    <m/>
  </r>
  <r>
    <s v="FIE-2019-2020-IEE-0123"/>
    <s v="2020-000444-A"/>
    <x v="92"/>
    <d v="2020-08-31T00:00:00"/>
    <s v=""/>
    <s v="INCENT ESP"/>
    <s v="Contract"/>
    <s v="D3600"/>
    <s v="DIAZ BROTHERS, INC."/>
    <s v="D3600 - DIAZ BROTHERS, INC."/>
    <s v="JUANA DIAZ"/>
    <s v="Muebles"/>
    <x v="6"/>
    <n v="7471"/>
    <n v="0"/>
    <n v="0"/>
    <n v="7471"/>
    <n v="0"/>
    <s v=""/>
    <s v=""/>
    <m/>
  </r>
  <r>
    <s v="FIE-2019-2020-IEE-0140"/>
    <s v="2020-000444-B"/>
    <x v="47"/>
    <d v="2020-08-31T00:00:00"/>
    <s v=""/>
    <s v="INCENT ESP"/>
    <s v="Contract"/>
    <s v="D3600"/>
    <s v="DIAZ BROTHERS, INC."/>
    <s v="D3600 - DIAZ BROTHERS, INC."/>
    <s v="JUANA DIAZ"/>
    <s v="Muebles"/>
    <x v="6"/>
    <n v="4993"/>
    <n v="0"/>
    <n v="0"/>
    <n v="4993"/>
    <n v="0"/>
    <s v=""/>
    <s v=""/>
    <m/>
  </r>
  <r>
    <s v="FIE60-2020-2021-0069"/>
    <s v="En Proceso"/>
    <x v="93"/>
    <s v="En Proceso"/>
    <s v=""/>
    <s v="INCENT LEY 60"/>
    <s v="Assignment"/>
    <s v="D3600"/>
    <s v="DIAZ BROTHERS, INC."/>
    <s v="D3600 - DIAZ BROTHERS, INC."/>
    <s v="JUANA DIAZ"/>
    <s v="Muebles"/>
    <x v="6"/>
    <n v="5293.98"/>
    <n v="0"/>
    <n v="0"/>
    <n v="5293.98"/>
    <n v="0"/>
    <s v=""/>
    <s v=""/>
    <s v=""/>
  </r>
  <r>
    <s v="FIE-2019-2020-IIP-0022"/>
    <s v="2020-000152"/>
    <x v="7"/>
    <d v="2019-09-19T00:00:00"/>
    <s v=""/>
    <s v="INCENT ESP"/>
    <s v="Contract"/>
    <s v="D0319"/>
    <s v="DIAZ COLON, ARLENNE "/>
    <s v="D0319 - DIAZ COLON, ARLENNE "/>
    <s v="SAN JUAN"/>
    <s v="Programa Artesanía"/>
    <x v="4"/>
    <n v="807.76"/>
    <n v="75.040000000000006"/>
    <n v="732.72"/>
    <n v="0"/>
    <n v="0"/>
    <s v=""/>
    <s v=""/>
    <m/>
  </r>
  <r>
    <s v="FIE-2018-2019-IIP-0013"/>
    <s v="2019-000135"/>
    <x v="2"/>
    <d v="2018-09-19T00:00:00"/>
    <s v=""/>
    <s v="INCENT ESP"/>
    <s v="Contract"/>
    <s v="D0262"/>
    <s v="DIAZ DOMINGUEZ, ERIC"/>
    <s v="D0262 - DIAZ DOMINGUEZ, ERIC"/>
    <s v="SAN JUAN"/>
    <s v="Programa Artesanía"/>
    <x v="4"/>
    <n v="1000"/>
    <n v="6.86"/>
    <n v="993.14"/>
    <n v="0"/>
    <n v="0"/>
    <s v=""/>
    <s v=""/>
    <m/>
  </r>
  <r>
    <s v="FIE-2017-2018-IIP-0005"/>
    <s v="2018-000393"/>
    <x v="24"/>
    <d v="2018-06-15T00:00:00"/>
    <s v=""/>
    <s v="INCENT ESP"/>
    <s v="Contract"/>
    <s v="D0294"/>
    <s v="DIAZ RIVERA, ERASMO"/>
    <s v="D0294 - DIAZ RIVERA, ERASMO"/>
    <s v="SAN JUAN"/>
    <s v="Programa Artesanía"/>
    <x v="4"/>
    <n v="919.05"/>
    <n v="919.05"/>
    <n v="0"/>
    <n v="0"/>
    <n v="0"/>
    <s v=""/>
    <s v=""/>
    <m/>
  </r>
  <r>
    <s v="FE-2019-2020-0012"/>
    <s v="En Proceso"/>
    <x v="4"/>
    <s v="En Proceso"/>
    <s v=""/>
    <s v="INCENT FEDE"/>
    <s v="Assignment"/>
    <m/>
    <s v="DISTECH CORP."/>
    <s v="DISTECH CORP."/>
    <s v="BAYAMON"/>
    <s v="Alimentos"/>
    <x v="5"/>
    <n v="38000"/>
    <n v="0"/>
    <n v="0"/>
    <n v="38000"/>
    <n v="38"/>
    <m/>
    <n v="500000"/>
    <m/>
  </r>
  <r>
    <s v="FE-2019-2020-0013"/>
    <s v="En Proceso"/>
    <x v="4"/>
    <s v="En Proceso"/>
    <s v=""/>
    <s v="INCENT FEDE"/>
    <s v="Assignment"/>
    <m/>
    <s v="DISTECH CORP."/>
    <s v="DISTECH CORP."/>
    <s v="BAYAMON"/>
    <s v="Alimentos"/>
    <x v="2"/>
    <n v="483757.17"/>
    <n v="0"/>
    <n v="0"/>
    <n v="483757.17"/>
    <n v="0"/>
    <n v="633687"/>
    <m/>
    <m/>
  </r>
  <r>
    <s v="FIE-2017-2018-IIP-0083"/>
    <s v="2018-000232"/>
    <x v="94"/>
    <d v="2017-12-29T00:00:00"/>
    <s v=""/>
    <s v="INCENT ESP"/>
    <s v="Contract"/>
    <s v="D0217"/>
    <s v="DLP OPTIMUM SERVICES CORP."/>
    <s v="D0217 - DLP OPTIMUM SERVICES CORP."/>
    <s v="SAN JUAN"/>
    <s v="Incentivo de Emergencias Huracanes - Generadores"/>
    <x v="3"/>
    <n v="25000"/>
    <n v="2420.2600000000002"/>
    <n v="22579.74"/>
    <n v="0"/>
    <n v="0"/>
    <s v=""/>
    <s v=""/>
    <m/>
  </r>
  <r>
    <s v="FIE-2016-2017-IEE-0052"/>
    <s v="2017-000367"/>
    <x v="95"/>
    <d v="2017-02-17T00:00:00"/>
    <s v=""/>
    <s v="INCENT ESP"/>
    <s v="Contract"/>
    <s v="D0272"/>
    <s v="DNG, INC."/>
    <s v="D0272 - DNG, INC."/>
    <s v="SAN JUAN"/>
    <s v="Muebles"/>
    <x v="6"/>
    <n v="1608"/>
    <n v="0"/>
    <n v="1608"/>
    <n v="0"/>
    <n v="0"/>
    <s v=""/>
    <s v=""/>
    <m/>
  </r>
  <r>
    <s v="FIE-2018-2019-IEE-0059"/>
    <s v="2019-000448"/>
    <x v="12"/>
    <d v="2019-05-22T00:00:00"/>
    <s v=""/>
    <s v="INCENT ESP"/>
    <s v="Contract"/>
    <s v="D0272"/>
    <s v="DNG, INC."/>
    <s v="D0272 - DNG, INC."/>
    <s v="SAN JUAN"/>
    <s v="Muebles"/>
    <x v="6"/>
    <n v="1852"/>
    <n v="0"/>
    <n v="0"/>
    <n v="1852"/>
    <n v="0"/>
    <s v=""/>
    <s v=""/>
    <m/>
  </r>
  <r>
    <s v="FIE-2018-2019-IEE-0060"/>
    <s v="2019-000448-A"/>
    <x v="12"/>
    <d v="2019-06-12T00:00:00"/>
    <s v=""/>
    <s v="INCENT ESP"/>
    <s v="Contract"/>
    <s v="D0272"/>
    <s v="DNG, INC."/>
    <s v="D0272 - DNG, INC."/>
    <s v="SAN JUAN"/>
    <s v="Muebles"/>
    <x v="6"/>
    <n v="4177"/>
    <n v="0"/>
    <n v="0"/>
    <n v="4177"/>
    <n v="0"/>
    <s v=""/>
    <s v=""/>
    <m/>
  </r>
  <r>
    <s v="FIE-2019-2020-IEE-0070"/>
    <s v="2019-000448-B"/>
    <x v="96"/>
    <d v="2019-12-02T00:00:00"/>
    <s v=""/>
    <s v="INCENT ESP"/>
    <s v="Contract"/>
    <s v="D0272"/>
    <s v="DNG, INC."/>
    <s v="D0272 - DNG, INC."/>
    <s v="SAN JUAN"/>
    <s v="Servicios"/>
    <x v="6"/>
    <n v="2791"/>
    <n v="0"/>
    <n v="0"/>
    <n v="2791"/>
    <n v="0"/>
    <s v=""/>
    <s v=""/>
    <m/>
  </r>
  <r>
    <s v="FIE-2019-2020-IEE-0104"/>
    <s v="En Proceso"/>
    <x v="15"/>
    <s v="En Proceso"/>
    <s v=""/>
    <s v="INCENT ESP"/>
    <s v="Assignment"/>
    <s v="D0272"/>
    <s v="DNG, INC."/>
    <s v="D0272 - DNG, INC."/>
    <s v="SAN JUAN"/>
    <s v="Servicios"/>
    <x v="6"/>
    <n v="2607"/>
    <n v="0"/>
    <n v="0"/>
    <n v="2607"/>
    <n v="0"/>
    <s v=""/>
    <s v=""/>
    <m/>
  </r>
  <r>
    <s v="FIE-2017-2018-IIP-0009"/>
    <s v="2019-000162"/>
    <x v="24"/>
    <d v="2018-10-19T00:00:00"/>
    <s v=""/>
    <s v="INCENT ESP"/>
    <s v="Contract"/>
    <s v="D5940"/>
    <s v="DONA YIYA FOODS, INC."/>
    <s v="D5940 - DONA YIYA FOODS, INC."/>
    <s v="SAN JUAN"/>
    <s v="Alimentos"/>
    <x v="12"/>
    <n v="3500"/>
    <n v="0"/>
    <n v="400"/>
    <n v="3100"/>
    <n v="0"/>
    <s v=""/>
    <s v=""/>
    <m/>
  </r>
  <r>
    <s v="FIE60-2020-2021-0038"/>
    <s v="En Proceso"/>
    <x v="39"/>
    <s v="En Proceso"/>
    <s v=""/>
    <s v="INCENT LEY 60"/>
    <s v="Assignment"/>
    <s v="D5940"/>
    <s v="DONA YIYA FOODS, INC."/>
    <s v="D5940 - DONA YIYA FOODS, INC."/>
    <s v="SAN SEBASTIAN"/>
    <s v="Alimentos"/>
    <x v="8"/>
    <n v="4800"/>
    <n v="0"/>
    <n v="0"/>
    <n v="4800"/>
    <n v="3"/>
    <m/>
    <n v="45240"/>
    <n v="1.48"/>
  </r>
  <r>
    <s v="FIE60-2020-2021-0039"/>
    <s v="En Proceso"/>
    <x v="39"/>
    <s v="En Proceso"/>
    <s v=""/>
    <s v="INCENT LEY 60"/>
    <s v="Assignment"/>
    <s v="D5940"/>
    <s v="DONA YIYA FOODS, INC."/>
    <s v="D5940 - DONA YIYA FOODS, INC."/>
    <s v="SAN SEBASTIAN"/>
    <s v="Alimentos"/>
    <x v="9"/>
    <n v="50000"/>
    <n v="0"/>
    <n v="0"/>
    <n v="50000"/>
    <n v="0"/>
    <n v="143276"/>
    <m/>
    <n v="1.48"/>
  </r>
  <r>
    <s v="FIE-2019-2020-IIP-0019"/>
    <s v="En Proceso"/>
    <x v="97"/>
    <s v="En Proceso"/>
    <s v=""/>
    <s v="INCENT ESP"/>
    <s v="Assignment"/>
    <m/>
    <s v="DORADO STEEL MANUFACTURING LLC"/>
    <s v="DORADO STEEL MANUFACTURING LLC"/>
    <s v="BARCELONETA"/>
    <s v="MANUFACTURA DE TECHOS EN METAL"/>
    <x v="5"/>
    <n v="7000"/>
    <n v="0"/>
    <n v="0"/>
    <n v="7000"/>
    <n v="14"/>
    <m/>
    <n v="211120"/>
    <m/>
  </r>
  <r>
    <s v="FIE-2019-2020-IIP-0020"/>
    <s v="En Proceso"/>
    <x v="97"/>
    <s v="En Proceso"/>
    <s v=""/>
    <s v="INCENT ESP"/>
    <s v="Assignment"/>
    <m/>
    <s v="DORADO STEEL MANUFACTURING LLC"/>
    <s v="DORADO STEEL MANUFACTURING LLC"/>
    <s v="BARCELONETA"/>
    <s v="MANUFACTURA DE TECHOS EN METAL"/>
    <x v="2"/>
    <n v="43496"/>
    <n v="0"/>
    <n v="0"/>
    <n v="43496"/>
    <n v="0"/>
    <n v="260000"/>
    <m/>
    <m/>
  </r>
  <r>
    <s v="FIE-2018-2019-IIP-0036"/>
    <s v="2020-000326"/>
    <x v="22"/>
    <d v="2020-02-07T00:00:00"/>
    <s v=""/>
    <s v="INCENT ESP"/>
    <s v="Contract"/>
    <s v="D0306"/>
    <s v="DR. AGROEMPRESAS, INC."/>
    <s v="D0306 - DR. AGROEMPRESAS, INC."/>
    <s v="DORADO"/>
    <s v="Alimentos"/>
    <x v="10"/>
    <n v="105735"/>
    <n v="0"/>
    <n v="95161.5"/>
    <n v="10573.5"/>
    <n v="0"/>
    <n v="25000"/>
    <n v="80640"/>
    <m/>
  </r>
  <r>
    <s v="FIE-2016-2017-IIP-0020"/>
    <s v="2017-000310"/>
    <x v="98"/>
    <d v="2017-01-10T00:00:00"/>
    <s v=""/>
    <s v="INCENT ESP"/>
    <s v="Contract"/>
    <s v="D0254"/>
    <s v="DUI, INC. - IMAGE FIRST"/>
    <s v="D0254 - DUI, INC. - IMAGE FIRST"/>
    <s v="SAN JUAN"/>
    <s v="Servicios "/>
    <x v="5"/>
    <n v="23800"/>
    <n v="0"/>
    <n v="23800"/>
    <n v="0"/>
    <n v="17"/>
    <s v=""/>
    <s v=""/>
    <m/>
  </r>
  <r>
    <s v="FIE-2016-2017-IIP-0036"/>
    <s v="2017-000477"/>
    <x v="0"/>
    <d v="2017-06-28T00:00:00"/>
    <s v=""/>
    <s v="INCENT ESP"/>
    <s v="Contract"/>
    <s v="D7100"/>
    <s v="DULZURA BORINCANA,INC."/>
    <s v="D7100 - DULZURA BORINCANA,INC."/>
    <s v="SAN JUAN"/>
    <s v="Alimentos"/>
    <x v="0"/>
    <n v="40000"/>
    <n v="0"/>
    <n v="40000"/>
    <n v="0"/>
    <n v="0"/>
    <s v=""/>
    <s v=""/>
    <m/>
  </r>
  <r>
    <s v="FIE-2018-2019-IIP-0016"/>
    <s v="2019-000459"/>
    <x v="2"/>
    <d v="2019-05-28T00:00:00"/>
    <s v=""/>
    <s v="INCENT ESP"/>
    <s v="Contract"/>
    <s v="D7100"/>
    <s v="DULZURA BORINCANA,INC."/>
    <s v="D7100 - DULZURA BORINCANA,INC."/>
    <s v="SAN JUAN"/>
    <s v="Alimentos"/>
    <x v="0"/>
    <n v="50000"/>
    <n v="0"/>
    <n v="0"/>
    <n v="50000"/>
    <n v="0"/>
    <s v=""/>
    <s v=""/>
    <m/>
  </r>
  <r>
    <s v="FIE-2019-2020-IIP-0008"/>
    <s v="2020-000212"/>
    <x v="99"/>
    <d v="2019-11-06T00:00:00"/>
    <s v=""/>
    <s v="INCENT ESP"/>
    <s v="Contract"/>
    <s v="D0302"/>
    <s v="DYAD, LLC"/>
    <s v="D0302 - DYAD, LLC"/>
    <s v="HATILLO"/>
    <s v="Servicios fílmicos y de video, producción de materiales audiovisuales"/>
    <x v="5"/>
    <n v="7500"/>
    <n v="0"/>
    <n v="0"/>
    <n v="7500"/>
    <n v="5"/>
    <m/>
    <n v="80000"/>
    <m/>
  </r>
  <r>
    <s v="FIE-2019-2020-IIP-0009"/>
    <s v="2020-000213"/>
    <x v="99"/>
    <d v="2019-11-06T00:00:00"/>
    <s v=""/>
    <s v="INCENT ESP"/>
    <s v="Contract"/>
    <s v="D0302"/>
    <s v="DYAD, LLC"/>
    <s v="D0302 - DYAD, LLC"/>
    <s v="HATILLO"/>
    <s v="Servicios fílmicos y de video, producción de materiales audiovisuales"/>
    <x v="2"/>
    <n v="20170"/>
    <n v="0"/>
    <n v="0"/>
    <n v="20170"/>
    <n v="0"/>
    <n v="20000"/>
    <m/>
    <m/>
  </r>
  <r>
    <s v="FIE-2019-2020-IIP-0078"/>
    <s v="En Proceso"/>
    <x v="100"/>
    <s v="En Proceso"/>
    <s v=""/>
    <s v="INCENT ESP"/>
    <s v="Assignment"/>
    <m/>
    <s v="E PRINTING SHOP LLC"/>
    <s v="E PRINTING SHOP LLC"/>
    <s v="SAN JUAN"/>
    <s v="MANUFACTURA DE IMPRESOS Y ROTULOS"/>
    <x v="5"/>
    <n v="3000"/>
    <n v="0"/>
    <n v="0"/>
    <n v="3000"/>
    <n v="6"/>
    <m/>
    <n v="200000"/>
    <m/>
  </r>
  <r>
    <s v="FIE-2019-2020-IIP-0077"/>
    <s v="En Proceso"/>
    <x v="100"/>
    <s v="En Proceso"/>
    <s v=""/>
    <s v="INCENT ESP"/>
    <s v="Assignment"/>
    <m/>
    <s v="E PRINTING SHOP LLC"/>
    <s v="E PRINTING SHOP LLC"/>
    <s v="SAN JUAN"/>
    <s v="MANUFACTURA DE IMPRESOS Y ROTULOS"/>
    <x v="2"/>
    <n v="14400"/>
    <n v="0"/>
    <n v="0"/>
    <n v="14400"/>
    <n v="0"/>
    <n v="100000"/>
    <m/>
    <m/>
  </r>
  <r>
    <s v="FE-2018-2019-0040"/>
    <s v="2019-000272"/>
    <x v="101"/>
    <d v="2019-02-06T00:00:00"/>
    <s v="30/6/2019"/>
    <s v="INCENT FEDE"/>
    <s v="Contract"/>
    <s v="E0283"/>
    <s v="E3 CONSULTING, INC."/>
    <s v="E0283 - E3 CONSULTING, INC."/>
    <s v="SAN JUAN"/>
    <s v="Código de Incentivos"/>
    <x v="16"/>
    <n v="544850"/>
    <n v="6828"/>
    <n v="515200"/>
    <n v="22822"/>
    <n v="0"/>
    <s v=""/>
    <s v=""/>
    <m/>
  </r>
  <r>
    <s v="FIE-2017-2018-IIE-0139"/>
    <s v="2019-000101"/>
    <x v="20"/>
    <d v="2018-08-31T00:00:00"/>
    <s v=""/>
    <s v="INCENT ESP"/>
    <s v="Contract"/>
    <s v="E0090"/>
    <s v="EAGLE INDUSTRIES DEL CARIBE ,INC."/>
    <s v="E0090 - EAGLE INDUSTRIES DEL CARIBE ,INC."/>
    <s v="SAN JUAN"/>
    <s v="MANUFACTURA DE UNIFORMES MILITARES "/>
    <x v="5"/>
    <n v="975000"/>
    <n v="0"/>
    <n v="975000"/>
    <n v="0"/>
    <n v="0"/>
    <s v=""/>
    <s v=""/>
    <m/>
  </r>
  <r>
    <s v="FIE-2019-2020-IIP-0005"/>
    <s v="2020-000305"/>
    <x v="102"/>
    <d v="2020-01-23T00:00:00"/>
    <s v=""/>
    <s v="INCENT ESP"/>
    <s v="Contract"/>
    <s v="E0294"/>
    <s v="ECB PONCE CORP."/>
    <s v="E0294 - ECB PONCE CORP."/>
    <s v="SAN JUAN"/>
    <s v="Manufactura de Espejuelos"/>
    <x v="5"/>
    <n v="6000"/>
    <n v="0"/>
    <n v="0"/>
    <n v="6000"/>
    <n v="12"/>
    <n v="600000"/>
    <n v="370000"/>
    <m/>
  </r>
  <r>
    <s v="FE-2018-2019-0082"/>
    <s v="2020-000041"/>
    <x v="76"/>
    <d v="2019-07-19T00:00:00"/>
    <s v="18/7/2025"/>
    <s v="INCENT FEDE"/>
    <s v="Contract"/>
    <s v="E0230"/>
    <s v="ECHO CONSULTING GROUP, INC."/>
    <s v="E0230 - ECHO CONSULTING GROUP, INC."/>
    <s v="CAGUAS"/>
    <s v="Consultoria de procesos, equipos y sistemas"/>
    <x v="5"/>
    <n v="260000"/>
    <n v="0"/>
    <n v="52000"/>
    <n v="208000"/>
    <n v="40"/>
    <n v="53262"/>
    <n v="4500000"/>
    <m/>
  </r>
  <r>
    <s v="FE-2016-2017-0004"/>
    <s v="2017-000328"/>
    <x v="0"/>
    <d v="2017-02-01T00:00:00"/>
    <s v="31/1/19"/>
    <s v="INCENT FEDE"/>
    <s v="Contract"/>
    <s v="E0238"/>
    <s v="ECO GREEN RECYCLE CORP. "/>
    <s v="E0238 - ECO GREEN RECYCLE CORP. "/>
    <s v="SAN JUAN"/>
    <s v="Reciclaje"/>
    <x v="1"/>
    <n v="474280"/>
    <n v="124280"/>
    <n v="350000"/>
    <n v="0"/>
    <n v="0"/>
    <s v=""/>
    <s v=""/>
    <m/>
  </r>
  <r>
    <s v="FIE-2017-2018-IIP-0103"/>
    <s v="2018-000245"/>
    <x v="30"/>
    <d v="2017-12-29T00:00:00"/>
    <s v=""/>
    <s v="INCENT ESP"/>
    <s v="Contract"/>
    <s v="E2400"/>
    <s v="EDELCAR, INC"/>
    <s v="E2400 - EDELCAR, INC"/>
    <s v="SAN JUAN"/>
    <s v="Incentivo de Emergencias Huracanes - Generadores"/>
    <x v="3"/>
    <n v="25000"/>
    <n v="0"/>
    <n v="25000"/>
    <n v="0"/>
    <n v="0"/>
    <s v=""/>
    <s v=""/>
    <m/>
  </r>
  <r>
    <s v="FIE-2018-2019-IIP-0036"/>
    <s v="2020-000383"/>
    <x v="22"/>
    <d v="2020-02-27T00:00:00"/>
    <s v=""/>
    <s v="INCENT ESP"/>
    <s v="Contract"/>
    <s v="E0298"/>
    <s v="EDGARDO RAMIREZ AGUAYO H/N/C"/>
    <s v="E0298 - EDGARDO RAMIREZ AGUAYO H/N/C"/>
    <s v="CAGUAS"/>
    <s v="Alimentos"/>
    <x v="10"/>
    <n v="34973.19"/>
    <n v="0"/>
    <n v="0"/>
    <n v="34973.19"/>
    <n v="0"/>
    <n v="15000"/>
    <n v="15030"/>
    <m/>
  </r>
  <r>
    <s v="FE-2019-2020-0019"/>
    <s v="2020-000071-B"/>
    <x v="4"/>
    <d v="2019-12-19T00:00:00"/>
    <s v="31/7/2025"/>
    <s v="INCENT FEDE"/>
    <s v="Contract"/>
    <s v="E0289"/>
    <s v="EDMUNDO B. FERNANDEZ, INC. "/>
    <s v="E0289 - EDMUNDO B. FERNANDEZ, INC. "/>
    <s v="SAN JUAN"/>
    <s v="Industria del Ron"/>
    <x v="2"/>
    <n v="6000000"/>
    <n v="0"/>
    <n v="1611957.78"/>
    <n v="4388042.22"/>
    <n v="0"/>
    <n v="9854452"/>
    <n v="249600"/>
    <m/>
  </r>
  <r>
    <s v="FE-2017-2018-0047"/>
    <s v="2019-000402"/>
    <x v="103"/>
    <d v="2019-04-15T00:00:00"/>
    <s v=""/>
    <s v="INCENT FEDE"/>
    <s v="Contract"/>
    <s v="E2751"/>
    <s v="EDWARDS LIFESCIENCE TECHNOLOGY SARL"/>
    <s v="E2751 - EDWARDS LIFESCIENCE TECHNOLOGY SARL"/>
    <s v="AÑASCO"/>
    <s v="MANUFACTURA DE DISPOSITIVOS MÉDICOS"/>
    <x v="1"/>
    <n v="1500000"/>
    <n v="0"/>
    <n v="557895.79"/>
    <n v="942104.21"/>
    <n v="0"/>
    <s v=""/>
    <s v=""/>
    <m/>
  </r>
  <r>
    <s v="FIE-2017-2018-IIP-0116"/>
    <s v="En Proceso"/>
    <x v="104"/>
    <s v="En Proceso"/>
    <s v=""/>
    <s v="INCENT ESP"/>
    <s v="Assignment"/>
    <m/>
    <s v="EFRAIN LUGO H/N/C PONCE SAILING CENTER"/>
    <s v="EFRAIN LUGO H/N/C PONCE SAILING CENTER"/>
    <s v="PONCE"/>
    <s v="Sail, canvas and related products manufacturing"/>
    <x v="5"/>
    <n v="9000"/>
    <n v="0"/>
    <n v="0"/>
    <n v="9000"/>
    <n v="10"/>
    <n v="26382"/>
    <n v="150800"/>
    <m/>
  </r>
  <r>
    <s v="FIE-2017-2018-IIP-0050"/>
    <s v="2018-000201"/>
    <x v="61"/>
    <d v="2017-12-21T00:00:00"/>
    <s v=""/>
    <s v="INCENT ESP"/>
    <s v="Contract"/>
    <s v="E0268"/>
    <s v="EGEA, INC. DBA TROPICAL VENDORS"/>
    <s v="E0268 - EGEA, INC. DBA TROPICAL VENDORS"/>
    <s v="SAN JUAN"/>
    <s v="Incentivo de Emergencias Huracanes - Generadores"/>
    <x v="3"/>
    <n v="21000"/>
    <n v="0"/>
    <n v="21000"/>
    <n v="0"/>
    <n v="0"/>
    <s v=""/>
    <s v=""/>
    <m/>
  </r>
  <r>
    <s v="FIE-2019-2020-IIP-0108"/>
    <s v="En Proceso"/>
    <x v="87"/>
    <s v="En Proceso"/>
    <s v=""/>
    <s v="INCENT ESP"/>
    <s v="Assignment"/>
    <m/>
    <s v="EL BORICUA , INC."/>
    <s v="EL BORICUA , INC."/>
    <s v="BAYAMON"/>
    <s v="MANUFACTURA DE PRODUCTOS DE REPOSTERÍA"/>
    <x v="5"/>
    <n v="44000"/>
    <n v="0"/>
    <n v="0"/>
    <n v="44000"/>
    <n v="22"/>
    <m/>
    <n v="331760"/>
    <m/>
  </r>
  <r>
    <s v="FIE-2019-2020-IIP-0109"/>
    <s v="En Proceso"/>
    <x v="87"/>
    <s v="En Proceso"/>
    <s v=""/>
    <s v="INCENT ESP"/>
    <s v="Assignment"/>
    <m/>
    <s v="EL BORICUA , INC."/>
    <s v="EL BORICUA , INC."/>
    <s v="BAYAMON"/>
    <s v="MANUFACTURA DE PRODUCTOS DE REPOSTERÍA"/>
    <x v="2"/>
    <n v="81250"/>
    <n v="0"/>
    <n v="0"/>
    <n v="81250"/>
    <n v="0"/>
    <n v="162500"/>
    <m/>
    <m/>
  </r>
  <r>
    <s v="FIE-2016-2017-IIP-0004"/>
    <s v="2017-000246"/>
    <x v="6"/>
    <d v="2016-12-02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1060"/>
    <n v="1060"/>
    <n v="0"/>
    <n v="0"/>
    <n v="0"/>
    <s v=""/>
    <s v=""/>
    <m/>
  </r>
  <r>
    <s v="FIE-2016-2017-IIP-0004"/>
    <s v="2017-000390"/>
    <x v="6"/>
    <d v="2017-03-27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2640"/>
    <n v="2640"/>
    <n v="0"/>
    <n v="0"/>
    <n v="0"/>
    <s v=""/>
    <s v=""/>
    <m/>
  </r>
  <r>
    <s v="FIE-2018-2019-IIP-0012"/>
    <s v="2019-000173-A"/>
    <x v="2"/>
    <d v="2018-10-22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1370"/>
    <n v="0"/>
    <n v="1370"/>
    <n v="0"/>
    <n v="0"/>
    <s v=""/>
    <s v=""/>
    <m/>
  </r>
  <r>
    <s v="FIE-2018-2019-IIP-0012"/>
    <s v="2019-000212"/>
    <x v="2"/>
    <d v="2018-12-10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350"/>
    <n v="0"/>
    <n v="350"/>
    <n v="0"/>
    <n v="0"/>
    <s v=""/>
    <s v=""/>
    <m/>
  </r>
  <r>
    <s v="FIE-2018-2019-IIP-0012"/>
    <s v="2019-000213"/>
    <x v="2"/>
    <d v="2018-12-10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1350"/>
    <n v="0"/>
    <n v="1350"/>
    <n v="0"/>
    <n v="0"/>
    <s v=""/>
    <s v=""/>
    <m/>
  </r>
  <r>
    <s v="FIE-2018-2019-IIP-0012"/>
    <s v="2019-000259"/>
    <x v="2"/>
    <d v="2019-01-25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1950"/>
    <n v="0"/>
    <n v="1950"/>
    <n v="0"/>
    <n v="0"/>
    <s v=""/>
    <s v=""/>
    <m/>
  </r>
  <r>
    <s v="FIE-2018-2019-IIP-0012"/>
    <s v="2019-000369"/>
    <x v="2"/>
    <d v="2019-03-20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2330"/>
    <n v="0"/>
    <n v="2330"/>
    <n v="0"/>
    <n v="0"/>
    <s v=""/>
    <s v=""/>
    <m/>
  </r>
  <r>
    <s v="FIE-2018-2019-IIP-0012"/>
    <s v="2019-000371"/>
    <x v="2"/>
    <d v="2019-03-20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2235"/>
    <n v="0"/>
    <n v="2235"/>
    <n v="0"/>
    <n v="0"/>
    <s v=""/>
    <s v=""/>
    <m/>
  </r>
  <r>
    <s v="FIE-2019-2020-IIP-0021"/>
    <s v="2020-000176"/>
    <x v="7"/>
    <d v="2019-10-11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1250"/>
    <n v="0"/>
    <n v="0"/>
    <n v="1250"/>
    <n v="0"/>
    <s v=""/>
    <s v=""/>
    <m/>
  </r>
  <r>
    <s v="FIE-2019-2020-IIP-0021"/>
    <s v="2020-000275"/>
    <x v="7"/>
    <d v="2019-12-12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6915"/>
    <n v="0"/>
    <n v="0"/>
    <n v="6915"/>
    <n v="0"/>
    <s v=""/>
    <s v=""/>
    <m/>
  </r>
  <r>
    <s v="FIE-2019-2020-IIP-0021"/>
    <s v="2020-000276"/>
    <x v="7"/>
    <d v="2019-12-12T00:00:00"/>
    <s v=""/>
    <s v="INCENT ESP"/>
    <s v="Contract"/>
    <s v="E0201"/>
    <s v="EL DEPORTIVO RENTAL &amp; CATERING, INC."/>
    <s v="E0201 - EL DEPORTIVO RENTAL &amp; CATERING, INC."/>
    <s v="SAN JUAN"/>
    <s v="Programa Artesanía"/>
    <x v="4"/>
    <n v="1290"/>
    <n v="0"/>
    <n v="0"/>
    <n v="1290"/>
    <n v="0"/>
    <s v=""/>
    <s v=""/>
    <m/>
  </r>
  <r>
    <s v="FIE-2016-2017-IIP-0004"/>
    <s v="2017-000178"/>
    <x v="6"/>
    <d v="2016-09-20T00:00:00"/>
    <s v=""/>
    <s v="INCENT ESP"/>
    <s v="Contract"/>
    <s v="E0240"/>
    <s v="EL FOGON DE SOFIA"/>
    <s v="E0240 - EL FOGON DE SOFIA"/>
    <s v="SAN JUAN"/>
    <s v="Programa Artesanía"/>
    <x v="4"/>
    <n v="418"/>
    <n v="418"/>
    <n v="0"/>
    <n v="0"/>
    <n v="0"/>
    <s v=""/>
    <s v=""/>
    <m/>
  </r>
  <r>
    <s v="FIE-2016-2017-IIP-0004"/>
    <s v="2017-000226"/>
    <x v="6"/>
    <d v="2016-11-14T00:00:00"/>
    <s v=""/>
    <s v="INCENT ESP"/>
    <s v="Contract"/>
    <s v="E0240"/>
    <s v="EL FOGON DE SOFIA"/>
    <s v="E0240 - EL FOGON DE SOFIA"/>
    <s v="SAN JUAN"/>
    <s v="Programa Artesanía"/>
    <x v="4"/>
    <n v="3564"/>
    <n v="0"/>
    <n v="3564"/>
    <n v="0"/>
    <n v="0"/>
    <s v=""/>
    <s v=""/>
    <m/>
  </r>
  <r>
    <s v="FIE-2016-2017-IIP-0004"/>
    <s v="2017-000245"/>
    <x v="6"/>
    <d v="2016-11-30T00:00:00"/>
    <s v=""/>
    <s v="INCENT ESP"/>
    <s v="Contract"/>
    <s v="E0240"/>
    <s v="EL FOGON DE SOFIA"/>
    <s v="E0240 - EL FOGON DE SOFIA"/>
    <s v="SAN JUAN"/>
    <s v="Programa Artesanía"/>
    <x v="4"/>
    <n v="671.25"/>
    <n v="0"/>
    <n v="671.25"/>
    <n v="0"/>
    <n v="0"/>
    <s v=""/>
    <s v=""/>
    <m/>
  </r>
  <r>
    <s v="FIE-2016-2017-IIP-0004"/>
    <s v="2017-000375"/>
    <x v="6"/>
    <d v="2017-03-08T00:00:00"/>
    <s v=""/>
    <s v="INCENT ESP"/>
    <s v="Contract"/>
    <s v="E0240"/>
    <s v="EL FOGON DE SOFIA"/>
    <s v="E0240 - EL FOGON DE SOFIA"/>
    <s v="SAN JUAN"/>
    <s v="Programa Artesanía"/>
    <x v="4"/>
    <n v="2490"/>
    <n v="0"/>
    <n v="2490"/>
    <n v="0"/>
    <n v="0"/>
    <s v=""/>
    <s v=""/>
    <m/>
  </r>
  <r>
    <s v="FIE-2017-2018-IIP-0017"/>
    <s v="2018-000145"/>
    <x v="105"/>
    <d v="2017-11-16T00:00:00"/>
    <s v=""/>
    <s v="INCENT ESP"/>
    <s v="Contract"/>
    <s v="E0219"/>
    <s v="EL-COM SYSTEM SYSTEMS CORP."/>
    <s v="E0219 - EL-COM SYSTEM SYSTEMS CORP."/>
    <s v="CAGUAS"/>
    <s v="Incentivo de Emergencias Huracanes - Generadores"/>
    <x v="3"/>
    <n v="120000"/>
    <n v="20400"/>
    <n v="99600"/>
    <n v="0"/>
    <n v="0"/>
    <s v=""/>
    <s v=""/>
    <m/>
  </r>
  <r>
    <s v="FIE-2019-2020-IIE-0110"/>
    <s v="2020-000445"/>
    <x v="87"/>
    <d v="2020-06-30T00:00:00"/>
    <s v=""/>
    <s v="INCENT ESP"/>
    <s v="Contract"/>
    <s v="E0219"/>
    <s v="EL-COM SYSTEM SYSTEMS CORP."/>
    <s v="E0219 - EL-COM SYSTEM SYSTEMS CORP."/>
    <s v="CAGUAS"/>
    <s v="Manufactura"/>
    <x v="5"/>
    <n v="80000"/>
    <n v="0"/>
    <n v="0"/>
    <n v="80000"/>
    <n v="100"/>
    <m/>
    <n v="1617200"/>
    <m/>
  </r>
  <r>
    <s v="FIE-2019-2020-IIE-0111"/>
    <s v="2020-000446"/>
    <x v="87"/>
    <d v="2020-06-24T00:00:00"/>
    <s v=""/>
    <s v="INCENT ESP"/>
    <s v="Contract"/>
    <s v="E0219"/>
    <s v="EL-COM SYSTEM SYSTEMS CORP."/>
    <s v="E0219 - EL-COM SYSTEM SYSTEMS CORP."/>
    <s v="CAGUAS"/>
    <s v="Manufactura"/>
    <x v="2"/>
    <n v="150000"/>
    <n v="0"/>
    <n v="0"/>
    <n v="150000"/>
    <n v="0"/>
    <n v="500000"/>
    <m/>
    <m/>
  </r>
  <r>
    <s v="FIE-2018-2019-IIP-0012"/>
    <s v="2019-000298"/>
    <x v="2"/>
    <d v="2019-02-21T00:00:00"/>
    <s v=""/>
    <s v="INCENT ESP"/>
    <s v="Contract"/>
    <s v="E0152"/>
    <s v="ELIZABETH WESTERBAND NIEVES"/>
    <s v="E0152 - ELIZABETH WESTERBAND NIEVES"/>
    <s v="SAN JUAN"/>
    <s v="Programa Artesanía"/>
    <x v="4"/>
    <n v="1080"/>
    <n v="0"/>
    <n v="1080"/>
    <n v="0"/>
    <n v="0"/>
    <s v=""/>
    <s v=""/>
    <m/>
  </r>
  <r>
    <s v="FIE-2019-2020-IIP-0021"/>
    <s v="2020-000123"/>
    <x v="7"/>
    <d v="2019-08-29T00:00:00"/>
    <s v=""/>
    <s v="INCENT ESP"/>
    <s v="Contract"/>
    <s v="E0152"/>
    <s v="ELIZABETH WESTERBAND NIEVES"/>
    <s v="E0152 - ELIZABETH WESTERBAND NIEVES"/>
    <s v="SAN JUAN"/>
    <s v="Programa Artesanía"/>
    <x v="4"/>
    <n v="1080"/>
    <n v="0"/>
    <n v="1080"/>
    <n v="0"/>
    <n v="0"/>
    <s v=""/>
    <s v=""/>
    <m/>
  </r>
  <r>
    <s v="FIE-2017-2018-IIP-0121"/>
    <s v="2019-000214"/>
    <x v="106"/>
    <d v="2018-12-12T00:00:00"/>
    <s v=""/>
    <s v="INCENT ESP"/>
    <s v="Contract"/>
    <s v="E0282"/>
    <s v="EMANUELLI RESEARCH &amp; DEVELOPMENT CENTER LLC "/>
    <s v="E0282 - EMANUELLI RESEARCH &amp; DEVELOPMENT CENTER LLC "/>
    <s v="SAN JUAN"/>
    <s v="R&amp;D"/>
    <x v="5"/>
    <n v="45000"/>
    <n v="0"/>
    <n v="0"/>
    <n v="45000"/>
    <n v="15"/>
    <m/>
    <n v="375000"/>
    <m/>
  </r>
  <r>
    <s v="FIE-2017-2018-IIP-0122"/>
    <s v="2019-000221"/>
    <x v="106"/>
    <d v="2018-12-13T00:00:00"/>
    <s v=""/>
    <s v="INCENT ESP"/>
    <s v="Contract"/>
    <s v="E0282"/>
    <s v="EMANUELLI RESEARCH &amp; DEVELOPMENT CENTER LLC "/>
    <s v="E0282 - EMANUELLI RESEARCH &amp; DEVELOPMENT CENTER LLC "/>
    <s v="ARECIBO"/>
    <s v="R&amp;D"/>
    <x v="2"/>
    <n v="150000"/>
    <n v="0"/>
    <n v="0"/>
    <n v="150000"/>
    <n v="0"/>
    <n v="300000"/>
    <m/>
    <m/>
  </r>
  <r>
    <s v="FIE-2017-2018-IIP-0067"/>
    <s v="2018-000187"/>
    <x v="45"/>
    <d v="2017-12-18T00:00:00"/>
    <s v=""/>
    <s v="INCENT ESP"/>
    <s v="Contract"/>
    <s v="E0060"/>
    <s v="EMBOTELLADORA DEL CARIBE"/>
    <s v="E0060 - EMBOTELLADORA DEL CARIBE"/>
    <s v="AGUADILLA"/>
    <s v="Incentivo de Emergencias Huracanes - Generadores"/>
    <x v="3"/>
    <n v="25000"/>
    <n v="329.16"/>
    <n v="24670.84"/>
    <n v="0"/>
    <n v="0"/>
    <s v=""/>
    <s v=""/>
    <m/>
  </r>
  <r>
    <s v="FIE-2017-2018-IIP-0120"/>
    <s v="2018-000407"/>
    <x v="107"/>
    <d v="2018-06-29T00:00:00"/>
    <s v=""/>
    <s v="INCENT ESP"/>
    <s v="Contract"/>
    <s v="S5140"/>
    <s v="EMPACADORA Y PROCESADORA DEL SUR, INC"/>
    <s v="S5140 - EMPACADORA Y PROCESADORA DEL SUR, INC"/>
    <s v="Coamo"/>
    <s v="Alimentos"/>
    <x v="1"/>
    <n v="248036"/>
    <n v="0"/>
    <n v="0"/>
    <n v="248036"/>
    <n v="0"/>
    <s v=""/>
    <s v=""/>
    <m/>
  </r>
  <r>
    <s v="FIE-2017-2018-IIP-0031"/>
    <s v="2018-000210"/>
    <x v="108"/>
    <d v="2017-12-27T00:00:00"/>
    <s v=""/>
    <s v="INCENT ESP"/>
    <s v="Contract"/>
    <s v="E5950"/>
    <s v="EMPRESAS BARSAN, INC"/>
    <s v="E5950 - EMPRESAS BARSAN, INC"/>
    <s v="SAN JUAN"/>
    <s v="Incentivo de Emergencias Huracanes - Generadores"/>
    <x v="3"/>
    <n v="25000"/>
    <n v="0"/>
    <n v="25000"/>
    <n v="0"/>
    <n v="0"/>
    <s v=""/>
    <s v=""/>
    <m/>
  </r>
  <r>
    <s v="FIE-2018-2019-IIP-0016"/>
    <s v="2019-000498"/>
    <x v="2"/>
    <d v="2019-06-28T00:00:00"/>
    <s v=""/>
    <s v="INCENT ESP"/>
    <s v="Contract"/>
    <s v="E5950"/>
    <s v="EMPRESAS BARSAN, INC"/>
    <s v="E5950 - EMPRESAS BARSAN, INC"/>
    <s v="SAN JUAN"/>
    <s v="Manufactura"/>
    <x v="0"/>
    <n v="50000"/>
    <n v="0"/>
    <n v="0"/>
    <n v="50000"/>
    <n v="0"/>
    <s v=""/>
    <s v=""/>
    <m/>
  </r>
  <r>
    <s v="FIE-2019-2020-IIP-0025"/>
    <s v="2020-000188"/>
    <x v="7"/>
    <d v="2019-10-23T00:00:00"/>
    <s v=""/>
    <s v="INCENT ESP"/>
    <s v="Contract"/>
    <s v="E5950"/>
    <s v="EMPRESAS BARSAN, INC"/>
    <s v="E5950 - EMPRESAS BARSAN, INC"/>
    <s v="SAN JUAN"/>
    <s v="Servicios"/>
    <x v="0"/>
    <n v="40000"/>
    <n v="0"/>
    <n v="0"/>
    <n v="40000"/>
    <n v="0"/>
    <s v=""/>
    <s v=""/>
    <m/>
  </r>
  <r>
    <s v="FIE-2017-2018-IIP-0035"/>
    <s v="2018-000167"/>
    <x v="75"/>
    <d v="2017-12-06T00:00:00"/>
    <s v=""/>
    <s v="INCENT ESP"/>
    <s v="Contract"/>
    <s v="E0237"/>
    <s v="EMPRESAS BOBET, INC."/>
    <s v="E0237 - EMPRESAS BOBET, INC."/>
    <s v="SAN JUAN"/>
    <s v="Incentivo de Emergencias Huracanes - Generadores"/>
    <x v="3"/>
    <n v="23505"/>
    <n v="23505"/>
    <n v="0"/>
    <n v="0"/>
    <n v="0"/>
    <s v=""/>
    <s v=""/>
    <m/>
  </r>
  <r>
    <s v="FIE-2016-2017-IEE-0022"/>
    <s v="2016-000581-B"/>
    <x v="9"/>
    <d v="2016-11-09T00:00:00"/>
    <s v=""/>
    <s v="INCENT ESP"/>
    <s v="Contract"/>
    <s v="E6000"/>
    <s v="EMPRESAS BORIQUE, INC."/>
    <s v="E6000 - EMPRESAS BORIQUE, INC."/>
    <s v="SAN JUAN"/>
    <s v="Muebles"/>
    <x v="6"/>
    <n v="4156"/>
    <n v="0"/>
    <n v="4156"/>
    <n v="0"/>
    <n v="0"/>
    <s v=""/>
    <s v=""/>
    <m/>
  </r>
  <r>
    <s v="FIE-2016-2017-IEE-0023"/>
    <s v="2016-000581-C"/>
    <x v="9"/>
    <d v="2016-11-10T00:00:00"/>
    <s v=""/>
    <s v="INCENT ESP"/>
    <s v="Contract"/>
    <s v="E6000"/>
    <s v="EMPRESAS BORIQUE, INC."/>
    <s v="E6000 - EMPRESAS BORIQUE, INC."/>
    <s v="SAN JUAN"/>
    <s v="Muebles"/>
    <x v="6"/>
    <n v="8335"/>
    <n v="0"/>
    <n v="8335"/>
    <n v="0"/>
    <n v="0"/>
    <s v=""/>
    <s v=""/>
    <m/>
  </r>
  <r>
    <s v="FIE-2016-2017-IEE-0050"/>
    <s v="2017-000322"/>
    <x v="109"/>
    <d v="2017-01-27T00:00:00"/>
    <s v=""/>
    <s v="INCENT ESP"/>
    <s v="Contract"/>
    <s v="E6000"/>
    <s v="EMPRESAS BORIQUE, INC."/>
    <s v="E6000 - EMPRESAS BORIQUE, INC."/>
    <s v="SAN JUAN"/>
    <s v="Muebles"/>
    <x v="6"/>
    <n v="10352"/>
    <n v="0"/>
    <n v="10352"/>
    <n v="0"/>
    <n v="0"/>
    <s v=""/>
    <s v=""/>
    <m/>
  </r>
  <r>
    <s v="FIE-2017-2018-IIP-0078"/>
    <s v="2018-000222"/>
    <x v="110"/>
    <d v="2017-12-28T00:00:00"/>
    <s v=""/>
    <s v="INCENT ESP"/>
    <s v="Contract"/>
    <s v="E6000"/>
    <s v="EMPRESAS BORIQUE, INC."/>
    <s v="E6000 - EMPRESAS BORIQUE, INC."/>
    <s v="SAN JUAN"/>
    <s v="Incentivo de Emergencias Huracanes - Generadores"/>
    <x v="3"/>
    <n v="25000"/>
    <n v="0"/>
    <n v="25000"/>
    <n v="0"/>
    <n v="0"/>
    <m/>
    <m/>
    <m/>
  </r>
  <r>
    <s v="FIE-2018-2019-IEE-0031"/>
    <s v="2019-000269"/>
    <x v="111"/>
    <d v="2019-02-13T00:00:00"/>
    <s v=""/>
    <s v="INCENT ESP"/>
    <s v="Contract"/>
    <s v="E6000"/>
    <s v="EMPRESAS BORIQUE, INC."/>
    <s v="E6000 - EMPRESAS BORIQUE, INC."/>
    <s v="SAN JUAN"/>
    <s v="Muebles"/>
    <x v="6"/>
    <n v="7652"/>
    <n v="0"/>
    <n v="7652"/>
    <n v="0"/>
    <n v="0"/>
    <s v=""/>
    <s v=""/>
    <m/>
  </r>
  <r>
    <s v="FIE-2018-2019-IEE-0064"/>
    <s v="2019-000269-A"/>
    <x v="13"/>
    <d v="2019-04-17T00:00:00"/>
    <s v=""/>
    <s v="INCENT ESP"/>
    <s v="Contract"/>
    <s v="E6000"/>
    <s v="EMPRESAS BORIQUE, INC."/>
    <s v="E6000 - EMPRESAS BORIQUE, INC."/>
    <s v="SAN JUAN"/>
    <s v="Muebles"/>
    <x v="6"/>
    <n v="12253"/>
    <n v="0"/>
    <n v="12253"/>
    <n v="0"/>
    <n v="0"/>
    <s v=""/>
    <s v=""/>
    <m/>
  </r>
  <r>
    <s v="FIE-2019-2020-IEE-0048"/>
    <s v="2019-000269-B"/>
    <x v="46"/>
    <d v="2019-11-07T00:00:00"/>
    <s v=""/>
    <s v="INCENT ESP"/>
    <s v="Contract"/>
    <s v="E6000"/>
    <s v="EMPRESAS BORIQUE, INC."/>
    <s v="E6000 - EMPRESAS BORIQUE, INC."/>
    <s v="SAN JUAN"/>
    <s v="Muebles"/>
    <x v="6"/>
    <n v="4197"/>
    <n v="0"/>
    <n v="4197"/>
    <n v="0"/>
    <n v="0"/>
    <s v=""/>
    <s v=""/>
    <m/>
  </r>
  <r>
    <s v="FIE-2019-2020-IEE-0064"/>
    <s v="2019-000269-C"/>
    <x v="71"/>
    <d v="2019-12-01T00:00:00"/>
    <s v=""/>
    <s v="INCENT ESP"/>
    <s v="Contract"/>
    <s v="E6000"/>
    <s v="EMPRESAS BORIQUE, INC."/>
    <s v="E6000 - EMPRESAS BORIQUE, INC."/>
    <s v="SAN JUAN"/>
    <s v="Muebles"/>
    <x v="6"/>
    <n v="9505"/>
    <n v="0"/>
    <n v="9505"/>
    <n v="0"/>
    <n v="0"/>
    <s v=""/>
    <s v=""/>
    <m/>
  </r>
  <r>
    <s v="FIE-2019-2020-IEE-0102"/>
    <s v="2020-000339"/>
    <x v="15"/>
    <d v="2020-02-07T00:00:00"/>
    <s v=""/>
    <s v="INCENT ESP"/>
    <s v="Contract"/>
    <s v="E6000"/>
    <s v="EMPRESAS BORIQUE, INC."/>
    <s v="E6000 - EMPRESAS BORIQUE, INC."/>
    <s v="SAN JUAN"/>
    <s v="Muebles"/>
    <x v="6"/>
    <n v="8756"/>
    <n v="0"/>
    <n v="8756"/>
    <n v="0"/>
    <n v="0"/>
    <s v=""/>
    <s v=""/>
    <m/>
  </r>
  <r>
    <s v="FIE-2019-2020-IEE-0131"/>
    <s v="2020-000339-A"/>
    <x v="72"/>
    <d v="2020-08-31T00:00:00"/>
    <s v=""/>
    <s v="INCENT ESP"/>
    <s v="Contract"/>
    <s v="E6000"/>
    <s v="EMPRESAS BORIQUE, INC."/>
    <s v="E6000 - EMPRESAS BORIQUE, INC."/>
    <s v="SAN JUAN"/>
    <s v="Muebles"/>
    <x v="6"/>
    <n v="14533.97"/>
    <n v="0"/>
    <n v="0"/>
    <n v="14533.97"/>
    <n v="0"/>
    <s v=""/>
    <s v=""/>
    <m/>
  </r>
  <r>
    <s v="FIE-2019-2020-IEE-0136"/>
    <s v="2020-000339-B"/>
    <x v="47"/>
    <d v="2020-08-31T00:00:00"/>
    <s v=""/>
    <s v="INCENT ESP"/>
    <s v="Contract"/>
    <s v="E6000"/>
    <s v="EMPRESAS BORIQUE, INC."/>
    <s v="E6000 - EMPRESAS BORIQUE, INC."/>
    <s v="SAN JUAN"/>
    <s v="Muebles"/>
    <x v="6"/>
    <n v="3105"/>
    <n v="0"/>
    <n v="0"/>
    <n v="3105"/>
    <n v="0"/>
    <s v=""/>
    <s v=""/>
    <m/>
  </r>
  <r>
    <s v="FIE60-2020-2021-0067"/>
    <s v="En Proceso"/>
    <x v="17"/>
    <s v="En Proceso"/>
    <s v=""/>
    <s v="INCENT LEY 60"/>
    <s v="Assignment"/>
    <s v="E6000"/>
    <s v="EMPRESAS BORIQUÉ, INC."/>
    <s v="E6000 - EMPRESAS BORIQUÉ, INC."/>
    <s v="SAN JUAN"/>
    <s v="Muebles"/>
    <x v="6"/>
    <n v="10499.08"/>
    <n v="0"/>
    <n v="0"/>
    <n v="10499.08"/>
    <n v="0"/>
    <s v=""/>
    <s v=""/>
    <s v=""/>
  </r>
  <r>
    <s v="FIE-2019-2020-IIP-0112"/>
    <s v="En Proceso"/>
    <x v="87"/>
    <s v="En Proceso"/>
    <s v=""/>
    <s v="INCENT ESP"/>
    <s v="Assignment"/>
    <m/>
    <s v="EMPRESAS CARIBE SUPPLIERS, LLC"/>
    <s v="EMPRESAS CARIBE SUPPLIERS, LLC"/>
    <s v="MOROVIS"/>
    <s v="Alimentos"/>
    <x v="5"/>
    <n v="19200"/>
    <n v="0"/>
    <n v="0"/>
    <n v="19200"/>
    <n v="12"/>
    <n v="350000"/>
    <n v="224640"/>
    <m/>
  </r>
  <r>
    <s v="FIE-2016-2017-IIP-0004"/>
    <s v="2017-000248"/>
    <x v="6"/>
    <d v="2016-12-07T00:00:00"/>
    <s v=""/>
    <s v="INCENT ESP"/>
    <s v="Contract"/>
    <s v="E0208"/>
    <s v="EMPRESAS MELENDEZ CRUZ, INC."/>
    <s v="E0208 - EMPRESAS MELENDEZ CRUZ, INC."/>
    <s v="SAN JUAN"/>
    <s v="Programa Artesanía"/>
    <x v="4"/>
    <n v="1800"/>
    <n v="0"/>
    <n v="1800"/>
    <n v="0"/>
    <n v="0"/>
    <s v=""/>
    <s v=""/>
    <m/>
  </r>
  <r>
    <s v="FIE-2019-2020-IIP-0079"/>
    <s v="2020-000364"/>
    <x v="112"/>
    <d v="2020-02-21T00:00:00"/>
    <s v=""/>
    <s v="INCENT ESP"/>
    <s v="Contract"/>
    <s v="E0299"/>
    <s v="EMPRESAS ORTIZ BRUNET, INC."/>
    <s v="E0299 - EMPRESAS ORTIZ BRUNET, INC."/>
    <s v="GUAYNABO"/>
    <s v="Arena Manufacturada"/>
    <x v="5"/>
    <n v="110000"/>
    <n v="0"/>
    <n v="0"/>
    <n v="110000"/>
    <n v="55"/>
    <m/>
    <n v="880000"/>
    <m/>
  </r>
  <r>
    <s v="FIE-2019-2020-IIP-0080"/>
    <s v="2020-000365"/>
    <x v="112"/>
    <d v="2020-02-21T00:00:00"/>
    <s v=""/>
    <s v="INCENT ESP"/>
    <s v="Contract"/>
    <s v="E0299"/>
    <s v="EMPRESAS ORTIZ BRUNET, INC."/>
    <s v="E0299 - EMPRESAS ORTIZ BRUNET, INC."/>
    <s v="GUAYNABO"/>
    <s v="Arena Manufacturada"/>
    <x v="2"/>
    <n v="500000"/>
    <n v="0"/>
    <n v="204073.48"/>
    <n v="295926.52"/>
    <n v="0"/>
    <n v="1000000"/>
    <m/>
    <m/>
  </r>
  <r>
    <s v="FE-2019-2020-0081"/>
    <s v="2020-000402-A"/>
    <x v="49"/>
    <d v="2020-07-01T00:00:00"/>
    <s v=""/>
    <s v="INCENT FEDE"/>
    <s v="Contract"/>
    <s v="E0297"/>
    <s v="ENACTUS PUERTO RICO, INC."/>
    <s v="E0297 - ENACTUS PUERTO RICO, INC."/>
    <s v="SAN GERMAN"/>
    <s v="Apoyo a empresas comunitarias "/>
    <x v="14"/>
    <n v="209050"/>
    <n v="6360.2"/>
    <n v="163072.54999999999"/>
    <n v="39617.25"/>
    <n v="0"/>
    <s v=""/>
    <s v=""/>
    <m/>
  </r>
  <r>
    <s v="FIE-2017-2018-IIP-0008"/>
    <s v="2018-000404"/>
    <x v="24"/>
    <d v="2018-06-29T00:00:00"/>
    <s v=""/>
    <s v="INCENT ESP"/>
    <s v="Contract"/>
    <s v="E6785"/>
    <s v="ENCO MANUFACTURING"/>
    <s v="E6785 - ENCO MANUFACTURING"/>
    <s v="SAN JUAN"/>
    <s v="Manufactura"/>
    <x v="0"/>
    <n v="50000"/>
    <n v="0"/>
    <n v="50000"/>
    <n v="0"/>
    <n v="0"/>
    <s v=""/>
    <s v=""/>
    <m/>
  </r>
  <r>
    <s v="FIE-2017-2018-IIP-0029"/>
    <s v="2018-000189"/>
    <x v="108"/>
    <d v="2017-12-18T00:00:00"/>
    <s v=""/>
    <s v="INCENT ESP"/>
    <s v="Contract"/>
    <s v="E6785"/>
    <s v="ENCO MANUFACTURING"/>
    <s v="E6785 - ENCO MANUFACTURING"/>
    <s v="SAN JUAN"/>
    <s v="Incentivo de Emergencias Huracanes - Generadores"/>
    <x v="3"/>
    <n v="25000"/>
    <n v="0"/>
    <n v="25000"/>
    <n v="0"/>
    <n v="0"/>
    <s v=""/>
    <s v=""/>
    <m/>
  </r>
  <r>
    <s v="FIE-2018-2019-IIP-0016"/>
    <s v="2019-000499"/>
    <x v="2"/>
    <d v="2019-06-28T00:00:00"/>
    <s v=""/>
    <s v="INCENT ESP"/>
    <s v="Contract"/>
    <s v="E0184"/>
    <s v="ENERGY SOLAR PRODUCTS, INC."/>
    <s v="E0184 - ENERGY SOLAR PRODUCTS, INC."/>
    <s v="SAN JUAN"/>
    <s v="Manufactura"/>
    <x v="0"/>
    <n v="50000"/>
    <n v="0"/>
    <n v="0"/>
    <n v="50000"/>
    <n v="0"/>
    <s v=""/>
    <s v=""/>
    <m/>
  </r>
  <r>
    <s v="FE-2017-2018-0015"/>
    <s v="2019-000190"/>
    <x v="77"/>
    <d v="2018-11-15T00:00:00"/>
    <s v="14/11/2020"/>
    <s v="INCENT FEDE"/>
    <s v="Contract"/>
    <s v="E0277"/>
    <s v="ENGINE-4 CORP "/>
    <s v="E0277 - ENGINE-4 CORP "/>
    <s v="SAN JUAN"/>
    <s v="Laborartorio IOT"/>
    <x v="14"/>
    <n v="250000"/>
    <n v="0"/>
    <n v="100000"/>
    <n v="150000"/>
    <n v="0"/>
    <s v=""/>
    <s v=""/>
    <m/>
  </r>
  <r>
    <s v="FE-2017-2018-0046"/>
    <s v="2019-000106"/>
    <x v="103"/>
    <d v="2018-08-29T00:00:00"/>
    <s v="31/12/2018"/>
    <s v="INCENT FEDE"/>
    <s v="Contract"/>
    <s v="E0277"/>
    <s v="ENGINE-4 CORP "/>
    <s v="E0277 - ENGINE-4 CORP "/>
    <s v="SAN JUAN"/>
    <s v="IOTeen Boot Camp"/>
    <x v="14"/>
    <n v="54924"/>
    <n v="0"/>
    <n v="54924"/>
    <n v="0"/>
    <n v="0"/>
    <s v=""/>
    <s v=""/>
    <m/>
  </r>
  <r>
    <s v="FE-2019-2020-0058"/>
    <s v="2020-000239"/>
    <x v="65"/>
    <d v="2019-11-25T00:00:00"/>
    <s v="30/6/2020"/>
    <s v="INCENT FEDE"/>
    <s v="Contract"/>
    <s v="E0277"/>
    <s v="ENGINE-4 CORP "/>
    <s v="E0277 - ENGINE-4 CORP "/>
    <s v="SAN JUAN"/>
    <s v="IOTeen Boot Camp"/>
    <x v="14"/>
    <n v="99261.27"/>
    <n v="0"/>
    <n v="74445.960000000006"/>
    <n v="24815.309999999998"/>
    <n v="0"/>
    <s v=""/>
    <s v=""/>
    <m/>
  </r>
  <r>
    <s v="FE-2017-2018-0005"/>
    <s v="2018-000254"/>
    <x v="20"/>
    <d v="2018-01-09T00:00:00"/>
    <d v="2019-08-01T00:00:00"/>
    <s v="INCENT FEDE"/>
    <s v="Contract"/>
    <s v="E0224"/>
    <s v="ENTERPRIZE EVENTS, INC."/>
    <s v="E0224 - ENTERPRIZE EVENTS, INC."/>
    <s v="GUAYNABO"/>
    <s v="Apoyo Empresarial"/>
    <x v="14"/>
    <n v="485000"/>
    <n v="0"/>
    <n v="406840.6"/>
    <n v="78159.400000000023"/>
    <n v="0"/>
    <s v=""/>
    <s v=""/>
    <m/>
  </r>
  <r>
    <s v="FE-2018-2019-0032"/>
    <s v="2019-000238-A"/>
    <x v="38"/>
    <d v="2019-07-30T00:00:00"/>
    <d v="2020-09-01T00:00:00"/>
    <s v="INCENT FEDE"/>
    <s v="Contract"/>
    <s v="E0224"/>
    <s v="ENTERPRIZE EVENTS, INC."/>
    <s v="E0224 - ENTERPRIZE EVENTS, INC."/>
    <s v="GUAYNABO"/>
    <s v="Apoyo Empresarial"/>
    <x v="14"/>
    <n v="370000"/>
    <n v="0"/>
    <n v="355662.41"/>
    <n v="14337.590000000026"/>
    <n v="0"/>
    <s v=""/>
    <s v=""/>
    <m/>
  </r>
  <r>
    <s v="FIE60-2020-2021-0001"/>
    <s v="2021-000040"/>
    <x v="113"/>
    <d v="2020-08-10T00:00:00"/>
    <s v=""/>
    <s v="INCENT LEY 60"/>
    <s v="Contract"/>
    <s v="E0224"/>
    <s v="ENTERPRIZE EVENTS, INC."/>
    <s v="E0224 - ENTERPRIZE EVENTS, INC."/>
    <s v="GUAYNABO"/>
    <s v="Apoyo Empresarial"/>
    <x v="14"/>
    <n v="435000"/>
    <n v="0"/>
    <n v="0"/>
    <n v="435000"/>
    <n v="0"/>
    <s v=""/>
    <s v=""/>
    <s v=""/>
  </r>
  <r>
    <s v="FIE-2018-2019-IIP-0039"/>
    <s v="En Proceso"/>
    <x v="114"/>
    <s v="En Proceso"/>
    <s v=""/>
    <s v="INCENT ESP"/>
    <s v="Assignment"/>
    <m/>
    <s v="ERASMO RAMOS INC."/>
    <s v="ERASMO RAMOS INC."/>
    <s v="SAN JUAN"/>
    <s v="Alimentos"/>
    <x v="5"/>
    <n v="8000"/>
    <n v="0"/>
    <n v="0"/>
    <n v="8000"/>
    <n v="5"/>
    <n v="350000"/>
    <n v="84760"/>
    <m/>
  </r>
  <r>
    <s v="FIE-2017-2018-IIP-0004"/>
    <s v="2018-000105"/>
    <x v="24"/>
    <d v="2017-10-10T00:00:00"/>
    <s v=""/>
    <s v="INCENT ESP"/>
    <s v="Contract"/>
    <s v="E0043"/>
    <s v="ERICK J ORTIZ NEGRON"/>
    <s v="E0043 - ERICK J ORTIZ NEGRON"/>
    <s v="SAN JUAN"/>
    <s v="Programa Artesanía"/>
    <x v="4"/>
    <n v="1192.6600000000001"/>
    <n v="128.33000000000001"/>
    <n v="1064.33"/>
    <n v="0"/>
    <n v="0"/>
    <s v=""/>
    <s v=""/>
    <m/>
  </r>
  <r>
    <s v="FIE-2017-2018-IIP-0066"/>
    <s v="2018-000246"/>
    <x v="45"/>
    <d v="2017-12-29T00:00:00"/>
    <s v=""/>
    <s v="INCENT ESP"/>
    <s v="Contract"/>
    <s v="E0267"/>
    <s v="ESCO MANUFACTURING, INC."/>
    <s v="E0267 - ESCO MANUFACTURING, INC."/>
    <s v="Toa Baja"/>
    <s v="Incentivo de Emergencias Huracanes - Generadores"/>
    <x v="3"/>
    <n v="35000"/>
    <n v="0"/>
    <n v="35000"/>
    <n v="0"/>
    <n v="0"/>
    <s v=""/>
    <s v=""/>
    <m/>
  </r>
  <r>
    <s v="FIE-2017-2018-IIP-0005"/>
    <s v="2018-000369"/>
    <x v="24"/>
    <d v="2018-05-21T00:00:00"/>
    <s v=""/>
    <s v="INCENT ESP"/>
    <s v="Contract"/>
    <s v="E0087"/>
    <s v="ESPINOSA FERNANDEZ, JOSE"/>
    <s v="E0087 - ESPINOSA FERNANDEZ, JOSE"/>
    <s v="SAN JUAN"/>
    <s v="Programa Artesanía"/>
    <x v="4"/>
    <n v="938.26"/>
    <n v="0.13"/>
    <n v="938.13"/>
    <n v="0"/>
    <n v="0"/>
    <s v=""/>
    <s v=""/>
    <m/>
  </r>
  <r>
    <s v="FIE-2016-2017-IIP-0054"/>
    <s v="En Proceso"/>
    <x v="115"/>
    <s v="En Proceso"/>
    <s v=""/>
    <s v="INCENT ESP"/>
    <s v="Assignment"/>
    <s v="C0553"/>
    <s v="ESSENTRA PACKAGING PUERTO RICO, INC."/>
    <s v="C0553 - ESSENTRA PACKAGING PUERTO RICO, INC."/>
    <s v="GUAYNABO"/>
    <s v="Industrial and commercial printed cartons manufacturing"/>
    <x v="18"/>
    <n v="93684.76"/>
    <n v="0"/>
    <n v="0"/>
    <n v="93684.76"/>
    <n v="0"/>
    <s v=""/>
    <s v=""/>
    <m/>
  </r>
  <r>
    <s v="FIE-2016-2017-IIP-0055"/>
    <s v="En Proceso"/>
    <x v="115"/>
    <s v="En Proceso"/>
    <s v=""/>
    <s v="INCENT ESP"/>
    <s v="Assignment"/>
    <s v="C0553"/>
    <s v="ESSENTRA PACKAGING PUERTO RICO, INC."/>
    <s v="C0553 - ESSENTRA PACKAGING PUERTO RICO, INC."/>
    <s v="GUAYNABO"/>
    <s v="Industrial and commercial printed cartons manufacturing"/>
    <x v="18"/>
    <n v="109407.03"/>
    <n v="0"/>
    <n v="0"/>
    <n v="109407.03"/>
    <n v="0"/>
    <s v=""/>
    <s v=""/>
    <m/>
  </r>
  <r>
    <s v="FE-2016-2017-0034"/>
    <s v="2021-000026"/>
    <x v="116"/>
    <d v="2020-07-24T00:00:00"/>
    <s v="23/7/2023"/>
    <s v="INCENT FEDE"/>
    <s v="Contract"/>
    <s v="C0553"/>
    <s v="ESSENTRA PACKAGING PUERTO RICO, INC."/>
    <s v="C0553 - ESSENTRA PACKAGING PUERTO RICO, INC."/>
    <s v="GUAYNABO"/>
    <s v="Industrial and commercial printed cartons manufacturing"/>
    <x v="5"/>
    <n v="572000"/>
    <n v="0"/>
    <n v="0"/>
    <n v="572000"/>
    <n v="119"/>
    <m/>
    <n v="9960287"/>
    <m/>
  </r>
  <r>
    <s v="FE-2016-2017-0035"/>
    <s v="2021-000027"/>
    <x v="116"/>
    <d v="2020-07-24T00:00:00"/>
    <s v="23/7/2023"/>
    <s v="INCENT FEDE"/>
    <s v="Contract"/>
    <s v="C0553"/>
    <s v="ESSENTRA PACKAGING PUERTO RICO, INC."/>
    <s v="C0553 - ESSENTRA PACKAGING PUERTO RICO, INC."/>
    <s v="GUAYNABO"/>
    <s v="Industrial and commercial printed cartons manufacturing"/>
    <x v="1"/>
    <n v="500000"/>
    <n v="0"/>
    <n v="0"/>
    <n v="500000"/>
    <n v="0"/>
    <n v="12392406"/>
    <m/>
    <m/>
  </r>
  <r>
    <s v="FE-2019-2020-0071"/>
    <s v="2021-000025"/>
    <x v="54"/>
    <d v="2020-07-24T00:00:00"/>
    <s v="23/7/2023"/>
    <s v="INCENT FEDE"/>
    <s v="Contract"/>
    <s v="C0553"/>
    <s v="ESSENTRA PACKAGING PUERTO RICO, INC."/>
    <s v="C0553 - ESSENTRA PACKAGING PUERTO RICO, INC."/>
    <s v="GUAYNABO"/>
    <s v="Industrial and commercial printed cartons manufacturing"/>
    <x v="2"/>
    <n v="800000"/>
    <n v="0"/>
    <n v="0"/>
    <n v="800000"/>
    <n v="0"/>
    <s v=""/>
    <s v=""/>
    <m/>
  </r>
  <r>
    <s v="FE-2018-2019-0011"/>
    <s v="2019-000217"/>
    <x v="2"/>
    <d v="2018-12-13T00:00:00"/>
    <s v="30/6/2019"/>
    <s v="INCENT FEDE"/>
    <s v="Contract"/>
    <s v="E0281"/>
    <s v="ESTUDIOS TECNICOS, INC."/>
    <s v="E0281 - ESTUDIOS TECNICOS, INC."/>
    <s v="SAN JUAN"/>
    <s v="PROTECH"/>
    <x v="16"/>
    <n v="64000"/>
    <n v="14"/>
    <n v="63986"/>
    <n v="0"/>
    <n v="0"/>
    <s v=""/>
    <s v=""/>
    <m/>
  </r>
  <r>
    <s v="FE-2019-2020-0065"/>
    <s v="2020-000430-A"/>
    <x v="43"/>
    <d v="2020-06-29T00:00:00"/>
    <s v=""/>
    <s v="INCENT FEDE"/>
    <s v="Contract"/>
    <s v="E0191"/>
    <s v="EVERTEC GROUP LLC "/>
    <s v="E0191 - EVERTEC GROUP LLC "/>
    <s v="SAN JUAN"/>
    <s v="Código de Incentivos"/>
    <x v="16"/>
    <n v="723330"/>
    <n v="16929.919999999998"/>
    <n v="296471"/>
    <n v="409929.07999999996"/>
    <n v="0"/>
    <s v=""/>
    <s v=""/>
    <m/>
  </r>
  <r>
    <s v="FIE-2019-2020-IIP-0076"/>
    <s v="En Proceso"/>
    <x v="100"/>
    <s v="En Proceso"/>
    <s v=""/>
    <s v="INCENT ESP"/>
    <s v="Assignment"/>
    <m/>
    <s v="EVOLUZIONE GROUP, LLC"/>
    <s v="EVOLUZIONE GROUP, LLC"/>
    <s v="PONCE"/>
    <s v="Jabones, cremas &quot;shampoo&quot;, acondicionadores de pelo y &quot;bodywash&quot;"/>
    <x v="5"/>
    <n v="5000"/>
    <n v="0"/>
    <n v="0"/>
    <n v="5000"/>
    <n v="10"/>
    <s v=""/>
    <s v=""/>
    <m/>
  </r>
  <r>
    <s v="FIE-2018-2019-IIP-0036"/>
    <s v="2020-000435"/>
    <x v="22"/>
    <d v="2020-06-09T00:00:00"/>
    <s v=""/>
    <s v="INCENT ESP"/>
    <s v="Contract"/>
    <s v="F0247"/>
    <s v="F&amp;F HYDROPONICS LLC"/>
    <s v="F0247 - F&amp;F HYDROPONICS LLC"/>
    <s v="CIALES"/>
    <s v="Alimentos"/>
    <x v="10"/>
    <n v="201104.93"/>
    <n v="0"/>
    <n v="144069.44"/>
    <n v="57035.489999999991"/>
    <n v="0"/>
    <n v="268139"/>
    <n v="196040"/>
    <m/>
  </r>
  <r>
    <s v="FIE-2019-2020-IIP-0021"/>
    <s v="2020-000249"/>
    <x v="7"/>
    <d v="2019-11-26T00:00:00"/>
    <s v=""/>
    <s v="INCENT ESP"/>
    <s v="Contract"/>
    <s v="F0237"/>
    <s v="FALCON ALVAREZ, MAYRA J."/>
    <s v="F0237 - FALCON ALVAREZ, MAYRA J."/>
    <s v="SAN JUAN"/>
    <s v="Programa Artesanía"/>
    <x v="4"/>
    <n v="100"/>
    <n v="0"/>
    <n v="100"/>
    <n v="0"/>
    <n v="0"/>
    <s v=""/>
    <s v=""/>
    <m/>
  </r>
  <r>
    <s v="FE-2017-2018-0057"/>
    <s v="2019-000085"/>
    <x v="117"/>
    <d v="2018-08-20T00:00:00"/>
    <s v="19/1/2019"/>
    <s v="INCENT FEDE"/>
    <s v="Contract"/>
    <s v="F0226"/>
    <s v="FALCON STRATEGY ADVISORS GMBH"/>
    <s v="F0226 - FALCON STRATEGY ADVISORS GMBH"/>
    <s v="SAN JUAN"/>
    <s v="Desarrollo de Estrategia de Bioeconomía para Puerto Rico "/>
    <x v="16"/>
    <n v="250000"/>
    <m/>
    <n v="250000"/>
    <n v="0"/>
    <n v="0"/>
    <s v=""/>
    <s v=""/>
    <m/>
  </r>
  <r>
    <s v="FE-2018-2019-0068"/>
    <s v="2019-000390"/>
    <x v="118"/>
    <d v="2019-04-08T00:00:00"/>
    <d v="2020-07-04T00:00:00"/>
    <s v="INCENT FEDE"/>
    <s v="Contract"/>
    <s v="F0226"/>
    <s v="FALCON STRATEGY ADVISORS GMBH"/>
    <s v="F0226 - FALCON STRATEGY ADVISORS GMBH"/>
    <s v="SAN JUAN"/>
    <s v="Análisis y estudio para el desarrollo de estrategia bioeconómica general para PR - Fase II "/>
    <x v="16"/>
    <n v="550000"/>
    <m/>
    <n v="550000"/>
    <n v="0"/>
    <n v="0"/>
    <s v=""/>
    <s v=""/>
    <m/>
  </r>
  <r>
    <s v="FIE-2018-2019-IIP-0036"/>
    <s v="2020-000310"/>
    <x v="22"/>
    <d v="2020-01-29T00:00:00"/>
    <s v=""/>
    <s v="INCENT ESP"/>
    <s v="Contract"/>
    <s v="F0241"/>
    <s v="FAMILY FARM AQUAPONICS, INC."/>
    <s v="F0241 - FAMILY FARM AQUAPONICS, INC."/>
    <s v="TOA ALTA"/>
    <s v="Alimentos"/>
    <x v="10"/>
    <n v="201700"/>
    <n v="0"/>
    <n v="0"/>
    <n v="201700"/>
    <n v="0"/>
    <n v="124040"/>
    <n v="45240"/>
    <m/>
  </r>
  <r>
    <s v="FIE-2018-2019-IIP-0036"/>
    <s v="2020-000321"/>
    <x v="22"/>
    <d v="2020-01-29T00:00:00"/>
    <s v=""/>
    <s v="INCENT ESP"/>
    <s v="Contract"/>
    <s v="F0242"/>
    <s v="FARM IN THE CITY"/>
    <s v="F0242 - FARM IN THE CITY"/>
    <s v="GUAYNABO"/>
    <s v="Alimentos"/>
    <x v="10"/>
    <n v="300000"/>
    <n v="0"/>
    <n v="0"/>
    <n v="300000"/>
    <n v="0"/>
    <n v="5000"/>
    <n v="27556"/>
    <m/>
  </r>
  <r>
    <s v="FIE-2018-2019-IIP-0012"/>
    <s v="2019-000207"/>
    <x v="2"/>
    <d v="2018-11-30T00:00:00"/>
    <s v=""/>
    <s v="INCENT ESP"/>
    <s v="Contract"/>
    <s v="F0096"/>
    <s v="FAZAA CORPORATION"/>
    <s v="F0096 - FAZAA CORPORATION"/>
    <s v="SAN JUAN"/>
    <s v="Programa Artesanía"/>
    <x v="4"/>
    <n v="3579.6"/>
    <n v="0.6"/>
    <n v="3579"/>
    <n v="0"/>
    <n v="0"/>
    <s v=""/>
    <s v=""/>
    <m/>
  </r>
  <r>
    <s v="FIE-2017-2018-IIP-0042"/>
    <s v="2018-000204"/>
    <x v="61"/>
    <d v="2017-12-21T00:00:00"/>
    <s v=""/>
    <s v="INCENT ESP"/>
    <s v="Contract"/>
    <s v="F0182"/>
    <s v="FEJ CARIBE PAINT CORP."/>
    <s v="F0182 - FEJ CARIBE PAINT CORP."/>
    <s v="SAN JUAN"/>
    <s v="Incentivo de Emergencias Huracanes - Generadores"/>
    <x v="3"/>
    <n v="17000"/>
    <n v="0"/>
    <n v="17000"/>
    <n v="0"/>
    <n v="0"/>
    <s v=""/>
    <s v=""/>
    <m/>
  </r>
  <r>
    <s v="FIE-2016-2017-IIP-0005"/>
    <s v="2017-000411"/>
    <x v="6"/>
    <d v="2017-04-17T00:00:00"/>
    <s v=""/>
    <s v="INCENT ESP"/>
    <s v="Contract"/>
    <s v="F0205"/>
    <s v="FELIX TORRES RODRIGUEZ"/>
    <s v="F0205 - FELIX TORRES RODRIGUEZ"/>
    <s v="SAN JUAN"/>
    <s v="Programa Artesanía"/>
    <x v="4"/>
    <n v="1000"/>
    <n v="0"/>
    <n v="1000"/>
    <n v="0"/>
    <n v="0"/>
    <s v=""/>
    <s v=""/>
    <m/>
  </r>
  <r>
    <s v="FE-2018-2019-0025"/>
    <s v="2019-000389"/>
    <x v="19"/>
    <d v="2019-03-28T00:00:00"/>
    <s v="27/3/2029"/>
    <s v="INCENT FEDE"/>
    <s v="Contract"/>
    <s v="F0000"/>
    <s v="FENWAL INTERNATIONAL, INC."/>
    <s v="F0000 - FENWAL INTERNATIONAL, INC."/>
    <s v="MAYAGUEZ"/>
    <s v="EQUIPOS PARA AISLAR PLAQUETAS Y RECOLECTAR SANGRE"/>
    <x v="1"/>
    <n v="6800000"/>
    <n v="0"/>
    <n v="0"/>
    <n v="6800000"/>
    <n v="0"/>
    <n v="27000000"/>
    <m/>
    <m/>
  </r>
  <r>
    <s v="FE-2019-2020-0104"/>
    <s v="2021-000094"/>
    <x v="119"/>
    <d v="2020-09-10T00:00:00"/>
    <s v=""/>
    <s v="INCENT FEDE"/>
    <s v="Contract"/>
    <s v="F0000"/>
    <s v="FENWAL INTERNATIONAL, INC."/>
    <s v="F0000 - FENWAL INTERNATIONAL, INC."/>
    <s v="MAYAGUEZ"/>
    <s v="Medical Device"/>
    <x v="5"/>
    <n v="1436000"/>
    <n v="0"/>
    <n v="1436000"/>
    <n v="0"/>
    <n v="150"/>
    <s v=""/>
    <n v="7246691"/>
    <m/>
  </r>
  <r>
    <s v="FIE-2016-2017-IEE-0051"/>
    <s v="2017-000342"/>
    <x v="10"/>
    <d v="2017-02-09T00:00:00"/>
    <s v=""/>
    <s v="INCENT ESP"/>
    <s v="Contract"/>
    <s v="F4500"/>
    <s v="FE-RI CONSTRUCTION, INC."/>
    <s v="F4500 - FE-RI CONSTRUCTION, INC."/>
    <s v="SAN JUAN"/>
    <s v="Muebles"/>
    <x v="6"/>
    <n v="14277"/>
    <n v="0"/>
    <n v="14277"/>
    <n v="0"/>
    <n v="0"/>
    <s v=""/>
    <s v=""/>
    <m/>
  </r>
  <r>
    <s v="FIE-2019-2020-IEE-0058"/>
    <s v="2020-000202"/>
    <x v="71"/>
    <d v="2019-11-05T00:00:00"/>
    <s v=""/>
    <s v="INCENT ESP"/>
    <s v="Contract"/>
    <s v="F4500"/>
    <s v="FE-RI CONSTRUCTION, INC."/>
    <s v="F4500 - FE-RI CONSTRUCTION, INC."/>
    <s v="SAN JUAN"/>
    <s v="Servicios"/>
    <x v="6"/>
    <n v="3711"/>
    <n v="0"/>
    <n v="3711"/>
    <n v="0"/>
    <n v="0"/>
    <s v=""/>
    <s v=""/>
    <m/>
  </r>
  <r>
    <s v="FIE-2019-2020-IEE-0061"/>
    <s v="En Proceso"/>
    <x v="71"/>
    <s v="En Proceso"/>
    <s v=""/>
    <s v="INCENT ESP"/>
    <s v="Assignment"/>
    <s v="F4500"/>
    <s v="FE-RI CONSTRUCTION, INC."/>
    <s v="F4500 - FE-RI CONSTRUCTION, INC."/>
    <s v="SAN JUAN"/>
    <s v="Servicios"/>
    <x v="6"/>
    <n v="13575"/>
    <n v="0"/>
    <n v="0"/>
    <n v="13575"/>
    <n v="0"/>
    <s v=""/>
    <s v=""/>
    <m/>
  </r>
  <r>
    <s v="FIE-2019-2020-IEE-0062"/>
    <s v="En Proceso"/>
    <x v="71"/>
    <s v="En Proceso"/>
    <s v=""/>
    <s v="INCENT ESP"/>
    <s v="Assignment"/>
    <s v="F4500"/>
    <s v="FE-RI CONSTRUCTION, INC."/>
    <s v="F4500 - FE-RI CONSTRUCTION, INC."/>
    <s v="SAN JUAN"/>
    <s v="Servicios"/>
    <x v="6"/>
    <n v="8447"/>
    <n v="0"/>
    <n v="0"/>
    <n v="8447"/>
    <n v="0"/>
    <s v=""/>
    <s v=""/>
    <m/>
  </r>
  <r>
    <s v="FIE-2019-2020-IEE-0063"/>
    <s v="En Proceso"/>
    <x v="71"/>
    <s v="En Proceso"/>
    <s v=""/>
    <s v="INCENT ESP"/>
    <s v="Assignment"/>
    <s v="F4500"/>
    <s v="FE-RI CONSTRUCTION, INC."/>
    <s v="F4500 - FE-RI CONSTRUCTION, INC."/>
    <s v="SAN JUAN"/>
    <s v="Servicios"/>
    <x v="6"/>
    <n v="13357"/>
    <n v="0"/>
    <n v="0"/>
    <n v="13357"/>
    <n v="0"/>
    <s v=""/>
    <s v=""/>
    <m/>
  </r>
  <r>
    <s v="FIE-2019-2020-IEE-0132"/>
    <s v="2021-000020"/>
    <x v="72"/>
    <d v="2020-07-17T00:00:00"/>
    <s v=""/>
    <s v="INCENT ESP"/>
    <s v="Contract"/>
    <s v="F4500"/>
    <s v="FE-RI CONSTRUCTION, INC."/>
    <s v="F4500 - FE-RI CONSTRUCTION, INC."/>
    <s v="SAN JUAN"/>
    <s v="Servicios"/>
    <x v="6"/>
    <n v="53291"/>
    <n v="0"/>
    <n v="53291"/>
    <n v="0"/>
    <n v="0"/>
    <s v=""/>
    <s v=""/>
    <m/>
  </r>
  <r>
    <s v="FIE-2019-2020-IEE-0134"/>
    <s v="2021-000020-A"/>
    <x v="72"/>
    <d v="2020-08-11T00:00:00"/>
    <s v=""/>
    <s v="INCENT ESP"/>
    <s v="Contract"/>
    <s v="F4500"/>
    <s v="FE-RI CONSTRUCTION, INC."/>
    <s v="F4500 - FE-RI CONSTRUCTION, INC."/>
    <s v="SAN JUAN"/>
    <s v="Servicios"/>
    <x v="6"/>
    <n v="1816"/>
    <n v="0"/>
    <n v="1816"/>
    <n v="0"/>
    <n v="0"/>
    <s v=""/>
    <s v=""/>
    <m/>
  </r>
  <r>
    <s v="FIE-2019-2020-IEE-0139"/>
    <s v="2021-000020-B"/>
    <x v="47"/>
    <d v="2020-08-11T00:00:00"/>
    <s v=""/>
    <s v="INCENT ESP"/>
    <s v="Contract"/>
    <s v="F4500"/>
    <s v="FE-RI CONSTRUCTION, INC."/>
    <s v="F4500 - FE-RI CONSTRUCTION, INC."/>
    <s v="SAN JUAN"/>
    <s v="Servicios"/>
    <x v="6"/>
    <n v="36476"/>
    <n v="0"/>
    <n v="36476"/>
    <n v="0"/>
    <n v="0"/>
    <s v=""/>
    <s v=""/>
    <m/>
  </r>
  <r>
    <s v="FIE60-2020-2021-0063"/>
    <s v="En Proceso"/>
    <x v="17"/>
    <s v="En Proceso"/>
    <s v=""/>
    <s v="INCENT LEY 60"/>
    <s v="Assignment"/>
    <s v="F4500"/>
    <s v="FE-RI CONSTRUCTION, INC."/>
    <s v="F4500 - FE-RI CONSTRUCTION, INC."/>
    <s v="SAN JUAN"/>
    <s v="Muebles"/>
    <x v="6"/>
    <n v="348"/>
    <n v="0"/>
    <n v="0"/>
    <n v="348"/>
    <n v="0"/>
    <s v=""/>
    <s v=""/>
    <s v=""/>
  </r>
  <r>
    <s v="FIE-2017-2018-IIP-0006"/>
    <s v="2018-000412"/>
    <x v="24"/>
    <d v="2018-06-29T00:00:00"/>
    <s v=""/>
    <s v="INCENT ESP"/>
    <s v="Contract"/>
    <s v="F0221"/>
    <s v="FERNANDEZ LAZARO, LAURA"/>
    <s v="F0221 - FERNANDEZ LAZARO, LAURA"/>
    <s v="SAN JUAN"/>
    <s v="Programa Artesanía"/>
    <x v="4"/>
    <n v="2000"/>
    <n v="0"/>
    <n v="2000"/>
    <n v="0"/>
    <n v="0"/>
    <s v=""/>
    <s v=""/>
    <m/>
  </r>
  <r>
    <s v="FIE-2017-2018-IIP-0005"/>
    <s v="2018-000092"/>
    <x v="24"/>
    <d v="2017-09-01T00:00:00"/>
    <s v=""/>
    <s v="INCENT ESP"/>
    <s v="Contract"/>
    <s v="F0073"/>
    <s v="FERNANDEZ RIOS, LOURDES"/>
    <s v="F0073 - FERNANDEZ RIOS, LOURDES"/>
    <s v="SAN JUAN"/>
    <s v="Programa Artesanía"/>
    <x v="4"/>
    <n v="895.2"/>
    <n v="0"/>
    <n v="895.2"/>
    <n v="0"/>
    <n v="0"/>
    <s v=""/>
    <s v=""/>
    <m/>
  </r>
  <r>
    <s v="FIE-2016-2017-IIP-0004"/>
    <s v="2017-000217"/>
    <x v="6"/>
    <d v="2016-10-31T00:00:00"/>
    <s v=""/>
    <s v="INCENT ESP"/>
    <s v="Contract"/>
    <s v="F4860"/>
    <s v="FESTIVAL DEL PASTEL INC."/>
    <s v="F4860 - FESTIVAL DEL PASTEL INC."/>
    <s v="SAN JUAN"/>
    <s v="Programa Artesanía"/>
    <x v="4"/>
    <n v="2262.5"/>
    <n v="0"/>
    <n v="2262.5"/>
    <n v="0"/>
    <n v="0"/>
    <s v=""/>
    <s v=""/>
    <m/>
  </r>
  <r>
    <s v="FE-2016-2017-0001"/>
    <s v="En Proceso"/>
    <x v="120"/>
    <s v="En Proceso"/>
    <s v=""/>
    <s v="INCENT FEDE"/>
    <s v="Assignment"/>
    <m/>
    <s v="FIDEICOMISO DE CIENCIA, TECNOLOGÍA E INVESTIGACIÓN DE PUERTO RICO"/>
    <s v="FIDEICOMISO DE CIENCIA, TECNOLOGÍA E INVESTIGACIÓN DE PUERTO RICO"/>
    <s v="SAN JUAN"/>
    <s v="Parallel 18"/>
    <x v="14"/>
    <n v="150000"/>
    <n v="0"/>
    <n v="150000"/>
    <n v="0"/>
    <n v="0"/>
    <s v=""/>
    <s v=""/>
    <m/>
  </r>
  <r>
    <s v="FE-2016-2017-0027"/>
    <s v="En Proceso"/>
    <x v="3"/>
    <s v="En Proceso"/>
    <s v=""/>
    <s v="INCENT FEDE"/>
    <s v="Assignment"/>
    <m/>
    <s v="FIDEICOMISO DE CIENCIA, TECNOLOGÍA E INVESTIGACIÓN DE PUERTO RICO"/>
    <s v="FIDEICOMISO DE CIENCIA, TECNOLOGÍA E INVESTIGACIÓN DE PUERTO RICO"/>
    <s v="SAN JUAN"/>
    <s v="Parallel 18"/>
    <x v="14"/>
    <n v="973764"/>
    <n v="0"/>
    <n v="973764"/>
    <n v="0"/>
    <n v="0"/>
    <s v=""/>
    <s v=""/>
    <m/>
  </r>
  <r>
    <s v="FE-2016-2017-0045"/>
    <s v="En Proceso"/>
    <x v="121"/>
    <s v="En Proceso"/>
    <s v=""/>
    <s v="INCENT FEDE"/>
    <s v="Assignment"/>
    <m/>
    <s v="FIDEICOMISO DE CIENCIA, TECNOLOGÍA E INVESTIGACIÓN DE PUERTO RICO AF-2016-2017"/>
    <s v="FIDEICOMISO DE CIENCIA, TECNOLOGÍA E INVESTIGACIÓN DE PUERTO RICO"/>
    <s v="SAN JUAN"/>
    <s v="Apoyo Empresarial, Tecnología e Innovación"/>
    <x v="14"/>
    <n v="16508622.82"/>
    <n v="0"/>
    <n v="16508586.82"/>
    <n v="36"/>
    <n v="0"/>
    <s v=""/>
    <s v=""/>
    <m/>
  </r>
  <r>
    <s v="FE-2017-2018-0058"/>
    <s v="En Proceso"/>
    <x v="122"/>
    <s v="En Proceso"/>
    <s v=""/>
    <s v="INCENT FEDE"/>
    <s v="Assignment"/>
    <m/>
    <s v="FIDEICOMISO DE CIENCIA, TECNOLOGÍA E INVESTIGACIÓN DE PUERTO RICO AF-2017-2018"/>
    <s v="FIDEICOMISO DE CIENCIA, TECNOLOGÍA E INVESTIGACIÓN DE PUERTO RICO"/>
    <s v="SAN JUAN"/>
    <s v="Apoyo Empresarial, Tecnología e Innovación"/>
    <x v="14"/>
    <n v="15697509.99"/>
    <n v="0"/>
    <n v="2500000"/>
    <n v="13197509.99"/>
    <n v="0"/>
    <s v=""/>
    <s v=""/>
    <m/>
  </r>
  <r>
    <s v="FE-2018-2019-0118"/>
    <s v="En Proceso"/>
    <x v="123"/>
    <s v="En Proceso"/>
    <s v=""/>
    <s v="INCENT FEDE"/>
    <s v="Assignment"/>
    <m/>
    <s v="FIDEICOMISO DE CIENCIA, TECNOLOGÍA E INVESTIGACIÓN DE PUERTO RICO AF-2018-2019"/>
    <s v="FIDEICOMISO DE CIENCIA, TECNOLOGÍA E INVESTIGACIÓN DE PUERTO RICO"/>
    <s v="SAN JUAN"/>
    <s v="Apoyo Empresarial, Tecnología e Innovación"/>
    <x v="14"/>
    <n v="13710482.220000001"/>
    <n v="0"/>
    <n v="0"/>
    <n v="13710482.220000001"/>
    <n v="0"/>
    <s v=""/>
    <s v=""/>
    <m/>
  </r>
  <r>
    <s v="FIE-2016-2017-IIP-0004"/>
    <s v="2017-000386"/>
    <x v="6"/>
    <d v="2017-03-28T00:00:00"/>
    <s v=""/>
    <s v="INCENT ESP"/>
    <s v="Contract"/>
    <s v="F0171"/>
    <s v="FIGUEROA GIL DE LA MADRID, LEONIDES"/>
    <s v="F0171 - FIGUEROA GIL DE LA MADRID, LEONIDES"/>
    <s v="SAN JUAN"/>
    <s v="Programa Artesanía"/>
    <x v="4"/>
    <n v="150"/>
    <n v="0"/>
    <n v="150"/>
    <n v="0"/>
    <n v="0"/>
    <s v=""/>
    <s v=""/>
    <m/>
  </r>
  <r>
    <s v="FIE-2017-2018-IIP-0004"/>
    <s v="2018-000312"/>
    <x v="24"/>
    <d v="2018-03-08T00:00:00"/>
    <s v=""/>
    <s v="INCENT ESP"/>
    <s v="Contract"/>
    <s v="F0216"/>
    <s v="FIGUEROA PEREZ, ALMA I."/>
    <s v="F0216 - FIGUEROA PEREZ, ALMA I."/>
    <s v="SAN JUAN"/>
    <s v="Programa Artesanía"/>
    <x v="4"/>
    <n v="1180"/>
    <n v="100"/>
    <n v="1080"/>
    <n v="0"/>
    <n v="0"/>
    <s v=""/>
    <s v=""/>
    <m/>
  </r>
  <r>
    <s v="FIE-2016-2017-IIP-0005"/>
    <s v="2017-000470"/>
    <x v="6"/>
    <d v="2017-06-28T00:00:00"/>
    <s v=""/>
    <s v="INCENT ESP"/>
    <s v="Contract"/>
    <s v="F0207"/>
    <s v="FIGUEROA ROSA, BRUNILDA"/>
    <s v="F0207 - FIGUEROA ROSA, BRUNILDA"/>
    <s v="SAN JUAN"/>
    <s v="Programa Artesanía"/>
    <x v="4"/>
    <n v="1000"/>
    <n v="0.4"/>
    <n v="999.6"/>
    <n v="0"/>
    <n v="0"/>
    <s v=""/>
    <s v=""/>
    <m/>
  </r>
  <r>
    <s v="FIE-2018-2019-IIP-0036"/>
    <s v="2020-000377"/>
    <x v="22"/>
    <d v="2020-02-26T00:00:00"/>
    <s v=""/>
    <s v="INCENT ESP"/>
    <s v="Contract"/>
    <s v="F0244"/>
    <s v="FINCA DOS RIOS, INC."/>
    <s v="F0244 - FINCA DOS RIOS, INC."/>
    <s v="SAN JUAN"/>
    <s v="Alimentos"/>
    <x v="10"/>
    <n v="156056"/>
    <n v="0"/>
    <n v="0"/>
    <n v="156056"/>
    <n v="0"/>
    <s v=""/>
    <s v=""/>
    <m/>
  </r>
  <r>
    <s v="FIE-2018-2019-IIP-0036"/>
    <s v="2021-000136"/>
    <x v="22"/>
    <d v="2020-09-30T00:00:00"/>
    <s v=""/>
    <s v="INCENT ESP"/>
    <s v="Contract"/>
    <s v="F0253"/>
    <s v="FINCA E HIDROPONICOS PRATTS LLC"/>
    <s v="F0253 - FINCA E HIDROPONICOS PRATTS LLC"/>
    <s v="SAN JUAN"/>
    <s v="Alimentos"/>
    <x v="10"/>
    <n v="31819"/>
    <n v="0"/>
    <n v="0"/>
    <n v="31819"/>
    <n v="0"/>
    <s v=""/>
    <s v=""/>
    <m/>
  </r>
  <r>
    <s v="FIE-2017-2018-IIP-0043"/>
    <s v="2018-000207"/>
    <x v="61"/>
    <d v="2017-12-21T00:00:00"/>
    <s v=""/>
    <s v="INCENT ESP"/>
    <s v="Contract"/>
    <s v="F0213"/>
    <s v="FINCA EL SOL DE JOAQUIN, INC./CAFE NATIVO"/>
    <s v="F0213 - FINCA EL SOL DE JOAQUIN, INC./CAFE NATIVO"/>
    <s v="SAN JUAN"/>
    <s v="Incentivo de Emergencias Huracanes - Generadores"/>
    <x v="3"/>
    <n v="25000"/>
    <n v="0"/>
    <n v="25000"/>
    <n v="0"/>
    <n v="0"/>
    <s v=""/>
    <s v=""/>
    <m/>
  </r>
  <r>
    <s v="FIE-2018-2019-IIP-0036"/>
    <s v="2020-000367"/>
    <x v="22"/>
    <d v="2020-02-20T00:00:00"/>
    <s v=""/>
    <s v="INCENT ESP"/>
    <s v="Contract"/>
    <s v="F0246"/>
    <s v="FINCA ROSADO, INC."/>
    <s v="F0246 - FINCA ROSADO, INC."/>
    <s v="SAN JUAN"/>
    <s v="Alimentos"/>
    <x v="10"/>
    <n v="113610"/>
    <n v="0"/>
    <n v="0"/>
    <n v="113610"/>
    <n v="0"/>
    <s v=""/>
    <s v=""/>
    <m/>
  </r>
  <r>
    <s v="FIE-2016-2017-IIP-0004"/>
    <s v="2017-000256"/>
    <x v="6"/>
    <d v="2016-12-12T00:00:00"/>
    <s v=""/>
    <s v="INCENT ESP"/>
    <s v="Contract"/>
    <s v="F0015"/>
    <s v="FLASH BACK GROUP, INC"/>
    <s v="F0015 - FLASH BACK GROUP, INC"/>
    <s v="SAN JUAN"/>
    <s v="Programa Artesanía"/>
    <x v="4"/>
    <n v="900"/>
    <n v="0"/>
    <n v="900"/>
    <n v="0"/>
    <n v="0"/>
    <s v=""/>
    <s v=""/>
    <m/>
  </r>
  <r>
    <s v="FIE-2017-2018-IIP-0004"/>
    <s v="2018-000286"/>
    <x v="24"/>
    <d v="2018-02-12T00:00:00"/>
    <s v=""/>
    <s v="INCENT ESP"/>
    <s v="Contract"/>
    <s v="F0015"/>
    <s v="FLASH BACK GROUP, INC"/>
    <s v="F0015 - FLASH BACK GROUP, INC"/>
    <s v="SAN JUAN"/>
    <s v="Programa Artesanía"/>
    <x v="4"/>
    <n v="1700"/>
    <n v="0"/>
    <n v="1700"/>
    <n v="0"/>
    <n v="0"/>
    <s v=""/>
    <s v=""/>
    <m/>
  </r>
  <r>
    <s v="FIE-2017-2018-IIP-0004"/>
    <s v="2018-000350"/>
    <x v="24"/>
    <d v="2018-04-12T00:00:00"/>
    <s v=""/>
    <s v="INCENT ESP"/>
    <s v="Contract"/>
    <s v="F0015"/>
    <s v="FLASH BACK GROUP, INC"/>
    <s v="F0015 - FLASH BACK GROUP, INC"/>
    <s v="SAN JUAN"/>
    <s v="Programa Artesanía"/>
    <x v="4"/>
    <n v="1685"/>
    <n v="0"/>
    <n v="1685"/>
    <n v="0"/>
    <n v="0"/>
    <s v=""/>
    <s v=""/>
    <m/>
  </r>
  <r>
    <s v="FIE-2017-2018-IIP-0004"/>
    <s v="2018-000403"/>
    <x v="24"/>
    <d v="2018-06-26T00:00:00"/>
    <s v=""/>
    <s v="INCENT ESP"/>
    <s v="Contract"/>
    <s v="F0015"/>
    <s v="FLASH BACK GROUP, INC"/>
    <s v="F0015 - FLASH BACK GROUP, INC"/>
    <s v="SAN JUAN"/>
    <s v="Programa Artesanía"/>
    <x v="4"/>
    <n v="675"/>
    <n v="0"/>
    <n v="675"/>
    <n v="0"/>
    <n v="0"/>
    <s v=""/>
    <s v=""/>
    <m/>
  </r>
  <r>
    <s v="FIE-2018-2019-IIP-0012"/>
    <s v="2019-000245"/>
    <x v="2"/>
    <d v="2019-01-18T00:00:00"/>
    <s v=""/>
    <s v="INCENT ESP"/>
    <s v="Contract"/>
    <s v="F0015"/>
    <s v="FLASH BACK GROUP, INC"/>
    <s v="F0015 - FLASH BACK GROUP, INC"/>
    <s v="SAN JUAN"/>
    <s v="Programa Artesanía"/>
    <x v="4"/>
    <n v="4860"/>
    <n v="0"/>
    <n v="4860"/>
    <n v="0"/>
    <n v="0"/>
    <s v=""/>
    <s v=""/>
    <m/>
  </r>
  <r>
    <s v="FIE-2018-2019-IIP-0011"/>
    <s v="2019-000505"/>
    <x v="2"/>
    <d v="2019-06-28T00:00:00"/>
    <s v=""/>
    <s v="INCENT ESP"/>
    <s v="Contract"/>
    <s v="F7600"/>
    <s v="FOGEL CARIBBEAN CORP."/>
    <s v="F7600 - FOGEL CARIBBEAN CORP."/>
    <s v="AGUADILLA"/>
    <s v="Manufactura"/>
    <x v="12"/>
    <n v="12215"/>
    <n v="0"/>
    <n v="0"/>
    <n v="12215"/>
    <n v="0"/>
    <s v=""/>
    <s v=""/>
    <m/>
  </r>
  <r>
    <s v="FE-2018-2019-0026"/>
    <s v="2019-000351"/>
    <x v="19"/>
    <d v="2019-03-19T00:00:00"/>
    <s v="18/3/2025"/>
    <s v="INCENT FEDE"/>
    <s v="Contract"/>
    <s v="F0231"/>
    <s v="FOREVENUE, LLC"/>
    <s v="F0231 - FOREVENUE, LLC"/>
    <s v="SAN JUAN"/>
    <s v="Call Center"/>
    <x v="5"/>
    <n v="300000"/>
    <n v="0"/>
    <n v="4400"/>
    <n v="295600"/>
    <n v="150"/>
    <n v="3615000"/>
    <n v="5400000"/>
    <m/>
  </r>
  <r>
    <s v="FIE-2018-2019-IIP-0036"/>
    <s v="2020-000355"/>
    <x v="22"/>
    <d v="2020-02-13T00:00:00"/>
    <s v=""/>
    <s v="INCENT ESP"/>
    <s v="Contract"/>
    <s v="F0245"/>
    <s v="FRUTOS LA  RUAH, INC."/>
    <s v="F0245 - FRUTOS LA  RUAH, INC."/>
    <s v="SAN JUAN"/>
    <s v="Alimentos"/>
    <x v="10"/>
    <n v="36198"/>
    <n v="0"/>
    <n v="0"/>
    <n v="36198"/>
    <n v="0"/>
    <n v="72336"/>
    <n v="10920"/>
    <m/>
  </r>
  <r>
    <s v="FIE-2016-2017-IIP-0004"/>
    <s v="2017-000420"/>
    <x v="6"/>
    <d v="2017-04-26T00:00:00"/>
    <s v=""/>
    <s v="INCENT ESP"/>
    <s v="Contract"/>
    <s v="F0005"/>
    <s v="FUENTES ALVARADO, INOCENCIA"/>
    <s v="F0005 - FUENTES ALVARADO, INOCENCIA"/>
    <s v="SAN JUAN"/>
    <s v="Programa Artesanía"/>
    <x v="4"/>
    <n v="1000"/>
    <n v="0"/>
    <n v="1000"/>
    <n v="0"/>
    <n v="0"/>
    <s v=""/>
    <s v=""/>
    <m/>
  </r>
  <r>
    <s v="FE-2018-2019-0086"/>
    <s v="2019-000433"/>
    <x v="68"/>
    <d v="2019-05-09T00:00:00"/>
    <d v="2024-08-05T00:00:00"/>
    <s v="INCENT FEDE"/>
    <s v="Contract"/>
    <s v="F0232"/>
    <s v="FUNDAL CORP."/>
    <s v="F0232 - FUNDAL CORP."/>
    <s v="HUMACAO"/>
    <s v="Manufactura"/>
    <x v="5"/>
    <n v="104000"/>
    <n v="0"/>
    <n v="0"/>
    <n v="104000"/>
    <n v="0"/>
    <s v=""/>
    <s v=""/>
    <m/>
  </r>
  <r>
    <s v="FE-2018-2019-0085"/>
    <s v="2019-000432"/>
    <x v="68"/>
    <d v="2019-05-09T00:00:00"/>
    <d v="2024-08-05T00:00:00"/>
    <s v="INCENT FEDE"/>
    <s v="Contract"/>
    <s v="F0232"/>
    <s v="FUNDAL CORP."/>
    <s v="F0232 - FUNDAL CORP."/>
    <s v="HUMACAO"/>
    <s v="Manufactura"/>
    <x v="2"/>
    <n v="900000"/>
    <n v="0"/>
    <n v="900000"/>
    <n v="0"/>
    <n v="52"/>
    <s v=""/>
    <s v=""/>
    <m/>
  </r>
  <r>
    <s v="FIE-2018-2019-IIP-0036"/>
    <s v="2020-000318"/>
    <x v="22"/>
    <d v="2020-02-05T00:00:00"/>
    <s v=""/>
    <s v="INCENT ESP"/>
    <s v="Contract"/>
    <s v="F0228"/>
    <s v="FUSION PROPERTIES MANAGEMENT GROUP, INC."/>
    <s v="F0228 - FUSION PROPERTIES MANAGEMENT GROUP, INC."/>
    <s v="SAN JUAN"/>
    <s v="Alimentos"/>
    <x v="10"/>
    <n v="250000"/>
    <n v="0"/>
    <n v="0"/>
    <n v="250000"/>
    <n v="0"/>
    <s v=""/>
    <s v=""/>
    <m/>
  </r>
  <r>
    <s v="FIE-2019-2020-IIP-0026"/>
    <s v="2020-000374"/>
    <x v="7"/>
    <d v="2020-02-24T00:00:00"/>
    <s v=""/>
    <s v="INCENT ESP"/>
    <s v="Contract"/>
    <s v="F0243"/>
    <s v="FUTURE PRODUCTS CORPORATION"/>
    <s v="F0243 - FUTURE PRODUCTS CORPORATION"/>
    <s v="SAN JUAN"/>
    <s v="Manufactura"/>
    <x v="0"/>
    <n v="50000"/>
    <n v="0"/>
    <n v="0"/>
    <n v="50000"/>
    <n v="0"/>
    <s v=""/>
    <s v=""/>
    <m/>
  </r>
  <r>
    <s v="FIE-2019-2020-IIP-0095"/>
    <s v="En Proceso"/>
    <x v="67"/>
    <s v="En Proceso"/>
    <s v=""/>
    <s v="INCENT ESP"/>
    <s v="Assignment"/>
    <s v="B0269"/>
    <s v="GA SALES CORP."/>
    <s v="B0269 - BUFFALO PRINTING, INC."/>
    <s v="GURABO"/>
    <s v="Manufactura"/>
    <x v="5"/>
    <n v="20000"/>
    <n v="0"/>
    <n v="0"/>
    <n v="20000"/>
    <n v="10"/>
    <m/>
    <n v="152000"/>
    <m/>
  </r>
  <r>
    <s v="FIE-2019-2020-IIP-0096"/>
    <s v="En Proceso"/>
    <x v="67"/>
    <s v="En Proceso"/>
    <s v=""/>
    <s v="INCENT ESP"/>
    <s v="Assignment"/>
    <m/>
    <s v="GA SALES CORP."/>
    <s v="GA SALES CORP."/>
    <s v="GURABO"/>
    <s v="Manufactura"/>
    <x v="1"/>
    <n v="50000"/>
    <n v="0"/>
    <n v="0"/>
    <n v="50000"/>
    <n v="0"/>
    <n v="120000"/>
    <m/>
    <m/>
  </r>
  <r>
    <s v="FE-2017-2018-0054"/>
    <s v="2019-000227"/>
    <x v="103"/>
    <d v="2018-12-17T00:00:00"/>
    <s v="16/6/2024"/>
    <s v="INCENT FEDE"/>
    <s v="Contract"/>
    <s v="G0050"/>
    <s v="GALEPHAR PHARMACEUTICALS RESEARCH, INC."/>
    <s v="G0050 - GALEPHAR PHARMACEUTICALS RESEARCH, INC."/>
    <s v="JUNCOS"/>
    <s v="Investigación y Desarrollo de Productos Farmacéuticos"/>
    <x v="5"/>
    <n v="840000"/>
    <n v="0"/>
    <n v="225673.2"/>
    <n v="614326.80000000005"/>
    <n v="170"/>
    <m/>
    <n v="5800000"/>
    <m/>
  </r>
  <r>
    <s v="FE-2017-2018-0055"/>
    <s v="2019-000222-A"/>
    <x v="103"/>
    <d v="2018-12-14T00:00:00"/>
    <s v=""/>
    <s v="INCENT FEDE"/>
    <s v="Contract"/>
    <s v="G0050"/>
    <s v="GALEPHAR PHARMACEUTICALS RESEARCH, INC."/>
    <s v="G0050 - GALEPHAR PHARMACEUTICALS RESEARCH, INC."/>
    <s v="JUNCOS"/>
    <s v="Investigación y Desarrollo de Productos Farmacéuticos"/>
    <x v="2"/>
    <n v="1000000"/>
    <n v="0"/>
    <n v="0"/>
    <n v="1000000"/>
    <n v="0"/>
    <n v="15000000"/>
    <m/>
    <m/>
  </r>
  <r>
    <s v="FE-2019-2020-0018"/>
    <s v="En Proceso"/>
    <x v="4"/>
    <s v="En Proceso"/>
    <s v=""/>
    <s v="INCENT FEDE"/>
    <s v="Assignment"/>
    <s v="G0193"/>
    <s v="GANADEROS BORGES, INC."/>
    <s v="G0193 - GANADEROS BORGES, INC."/>
    <s v="NAGUABO"/>
    <s v="Hamburguers patties processing"/>
    <x v="2"/>
    <n v="271000"/>
    <n v="0"/>
    <n v="0"/>
    <n v="271000"/>
    <n v="0"/>
    <n v="500000"/>
    <n v="348000"/>
    <m/>
  </r>
  <r>
    <s v="FIE60-2020-2021-0077"/>
    <s v="En Proceso"/>
    <x v="31"/>
    <s v="En Proceso"/>
    <s v=""/>
    <s v="INCENT LEY 60"/>
    <s v="Assignment"/>
    <s v="G0193"/>
    <s v="GANADEROS BORGES, INC."/>
    <s v="G0193 - GANADEROS BORGES, INC."/>
    <s v="NAGUABO"/>
    <s v="Hamburguers patties processing"/>
    <x v="8"/>
    <n v="22500"/>
    <n v="0"/>
    <n v="0"/>
    <n v="22500"/>
    <n v="15"/>
    <s v=""/>
    <n v="150000"/>
    <n v="2.29"/>
  </r>
  <r>
    <s v="FIE60-2020-2021-0078"/>
    <s v="En Proceso"/>
    <x v="31"/>
    <s v="En Proceso"/>
    <s v=""/>
    <s v="INCENT LEY 60"/>
    <s v="Assignment"/>
    <s v="G0193"/>
    <s v="GANADEROS BORGES, INC."/>
    <s v="G0193 - GANADEROS BORGES, INC."/>
    <s v="NAGUABO"/>
    <s v="Hamburguers patties processing"/>
    <x v="9"/>
    <n v="50000"/>
    <n v="0"/>
    <n v="0"/>
    <n v="50000"/>
    <n v="0"/>
    <n v="250000"/>
    <s v=""/>
    <n v="2.29"/>
  </r>
  <r>
    <s v="FIE-2016-2017-IIP-0004"/>
    <s v="2017-000201"/>
    <x v="6"/>
    <d v="2016-10-14T00:00:00"/>
    <s v=""/>
    <s v="INCENT ESP"/>
    <s v="Contract"/>
    <s v="G0259"/>
    <s v="GARCIA CORDERO, JOSE D. "/>
    <s v="G0259 - GARCIA CORDERO, JOSE D. "/>
    <s v="SAN JUAN"/>
    <s v="Programa Artesanía"/>
    <x v="4"/>
    <n v="1080"/>
    <n v="0"/>
    <n v="1080"/>
    <n v="0"/>
    <n v="0"/>
    <s v=""/>
    <s v=""/>
    <m/>
  </r>
  <r>
    <s v="FIE-2016-2017-IIP-0004"/>
    <s v="2017-000359"/>
    <x v="6"/>
    <d v="2017-02-22T00:00:00"/>
    <s v=""/>
    <s v="INCENT ESP"/>
    <s v="Contract"/>
    <s v="G0259"/>
    <s v="GARCIA CORDERO, JOSE D. "/>
    <s v="G0259 - GARCIA CORDERO, JOSE D. "/>
    <s v="SAN JUAN"/>
    <s v="Programa Artesanía"/>
    <x v="4"/>
    <n v="1080"/>
    <n v="0"/>
    <n v="1080"/>
    <n v="0"/>
    <n v="0"/>
    <s v=""/>
    <s v=""/>
    <m/>
  </r>
  <r>
    <s v="FIE-2017-2018-IIP-0005"/>
    <s v="2018-000250"/>
    <x v="24"/>
    <d v="2018-01-04T00:00:00"/>
    <s v=""/>
    <s v="INCENT ESP"/>
    <s v="Contract"/>
    <s v="G0290"/>
    <s v="GARCIA GRANADOS, JOSE"/>
    <s v="G0290 - GARCIA GRANADOS, JOSE"/>
    <s v="SAN JUAN"/>
    <s v="Programa Artesanía"/>
    <x v="4"/>
    <n v="1455.16"/>
    <n v="248.48"/>
    <n v="1206.68"/>
    <n v="0"/>
    <n v="0"/>
    <s v=""/>
    <s v=""/>
    <m/>
  </r>
  <r>
    <s v="FIE-2017-2018-IIP-0001"/>
    <s v="2018-000195"/>
    <x v="124"/>
    <d v="2017-09-18T00:00:00"/>
    <s v=""/>
    <s v="INCENT ESP"/>
    <s v="Contract"/>
    <s v="G1455"/>
    <s v="GASCO INDUSTRIAL INC."/>
    <s v="G1455 - GASCO INDUSTRIAL INC."/>
    <s v="SAN JUAN"/>
    <s v="Manufactura"/>
    <x v="1"/>
    <n v="15711.46"/>
    <n v="1620.46"/>
    <n v="14091"/>
    <n v="0"/>
    <n v="0"/>
    <s v=""/>
    <s v=""/>
    <m/>
  </r>
  <r>
    <s v="FIE-2017-2018-IIP-0039"/>
    <s v="2018-000151"/>
    <x v="121"/>
    <d v="2017-11-30T00:00:00"/>
    <s v=""/>
    <s v="INCENT ESP"/>
    <s v="Contract"/>
    <s v="G0291"/>
    <s v="GEOGRAPHIC MAPPING TECHNOLOGIES CORP."/>
    <s v="G0291 - GEOGRAPHIC MAPPING TECHNOLOGIES CORP."/>
    <s v="SAN JUAN"/>
    <s v="Incentivo de Emergencias Huracanes - Generadores"/>
    <x v="3"/>
    <n v="8299"/>
    <n v="0"/>
    <n v="8299"/>
    <n v="0"/>
    <n v="0"/>
    <s v=""/>
    <s v=""/>
    <m/>
  </r>
  <r>
    <s v="FIE-2019-2020-IIP-0010"/>
    <s v="En Proceso"/>
    <x v="99"/>
    <s v="En Proceso"/>
    <s v=""/>
    <s v="INCENT ESP"/>
    <s v="Assignment"/>
    <s v="G0291"/>
    <s v="GEOGRAPHIC MAPPING TECHNOLOGIES CORP."/>
    <s v="G0291 - GEOGRAPHIC MAPPING TECHNOLOGIES CORP."/>
    <s v="SAN JUAN"/>
    <s v="Desarrollo de Software "/>
    <x v="5"/>
    <n v="12000"/>
    <n v="0"/>
    <n v="0"/>
    <n v="12000"/>
    <n v="8"/>
    <m/>
    <n v="200000"/>
    <m/>
  </r>
  <r>
    <s v="FIE-2019-2020-IIP-0011"/>
    <s v="En Proceso"/>
    <x v="99"/>
    <s v="En Proceso"/>
    <s v=""/>
    <s v="INCENT ESP"/>
    <s v="Assignment"/>
    <s v="G0291"/>
    <s v="GEOGRAPHIC MAPPING TECHNOLOGIES CORP."/>
    <s v="G0291 - GEOGRAPHIC MAPPING TECHNOLOGIES CORP."/>
    <s v="SAN JUAN"/>
    <s v="Desarrollo de Software "/>
    <x v="2"/>
    <n v="30000"/>
    <n v="0"/>
    <n v="0"/>
    <n v="30000"/>
    <n v="0"/>
    <n v="50000"/>
    <m/>
    <m/>
  </r>
  <r>
    <s v="FIE-2016-2017-IIP-0004"/>
    <s v="2017-000385"/>
    <x v="6"/>
    <d v="2017-03-28T00:00:00"/>
    <s v=""/>
    <s v="INCENT ESP"/>
    <s v="Contract"/>
    <s v="G4500"/>
    <s v="GERARDO ROSA MARTINEZ"/>
    <s v="G4500 - GERARDO ROSA MARTINEZ"/>
    <s v="SAN JUAN"/>
    <s v="Programa Artesanía"/>
    <x v="4"/>
    <n v="150"/>
    <n v="0"/>
    <n v="150"/>
    <n v="0"/>
    <n v="0"/>
    <s v=""/>
    <s v=""/>
    <m/>
  </r>
  <r>
    <s v="FIE-2018-2019-IIP-0018"/>
    <s v="2019-000164"/>
    <x v="56"/>
    <d v="2018-10-19T00:00:00"/>
    <s v=""/>
    <s v="INCENT ESP"/>
    <s v="Contract"/>
    <s v="G0294"/>
    <s v="GFREE FOODS, LLC"/>
    <s v="G0294 - GFREE FOODS, LLC"/>
    <s v="AGUADILLA"/>
    <s v="Alimentos"/>
    <x v="5"/>
    <n v="20800"/>
    <n v="0"/>
    <n v="0"/>
    <n v="20800"/>
    <n v="16"/>
    <m/>
    <n v="328198"/>
    <m/>
  </r>
  <r>
    <s v="FIE-2018-2019-IIP-0019"/>
    <s v="2019-000163"/>
    <x v="56"/>
    <d v="2018-10-19T00:00:00"/>
    <s v=""/>
    <s v="INCENT ESP"/>
    <s v="Contract"/>
    <s v="G0294"/>
    <s v="GFREE FOODS, LLC"/>
    <s v="G0294 - GFREE FOODS, LLC"/>
    <s v="AGUADILLA"/>
    <s v="Alimentos"/>
    <x v="2"/>
    <n v="40000"/>
    <n v="0"/>
    <n v="40000"/>
    <n v="0"/>
    <n v="0"/>
    <n v="142250"/>
    <m/>
    <m/>
  </r>
  <r>
    <s v="FIE-2016-2017-IEE-0029"/>
    <s v="2016-000559-C"/>
    <x v="9"/>
    <d v="2016-10-27T00:00:00"/>
    <s v=""/>
    <s v="INCENT ESP"/>
    <s v="Contract"/>
    <s v="G5030"/>
    <s v="GIRARD MANUFACTURING"/>
    <s v="G5030 - GIRARD MANUFACTURING"/>
    <s v="CANOVANAS"/>
    <s v="Muebles"/>
    <x v="6"/>
    <n v="3734"/>
    <n v="0"/>
    <n v="3734"/>
    <n v="0"/>
    <n v="0"/>
    <s v=""/>
    <s v=""/>
    <m/>
  </r>
  <r>
    <s v="FIE-2016-2017-IEE-0048"/>
    <s v="2017-000344"/>
    <x v="10"/>
    <d v="2017-02-10T00:00:00"/>
    <s v=""/>
    <s v="INCENT ESP"/>
    <s v="Contract"/>
    <s v="G5030"/>
    <s v="GIRARD MANUFACTURING"/>
    <s v="G5030 - GIRARD MANUFACTURING"/>
    <s v="CANOVANAS"/>
    <s v="Muebles"/>
    <x v="6"/>
    <n v="11142"/>
    <n v="0"/>
    <n v="11142"/>
    <n v="0"/>
    <n v="0"/>
    <s v=""/>
    <s v=""/>
    <m/>
  </r>
  <r>
    <s v="FE-2018-2019-0101"/>
    <s v="2020-000144"/>
    <x v="125"/>
    <d v="2019-09-19T00:00:00"/>
    <s v="18/9/2024"/>
    <s v="INCENT FEDE"/>
    <s v="Contract"/>
    <s v="G0316"/>
    <s v="GK MANUFACTURING "/>
    <s v="G0316 - GK MANUFACTURING "/>
    <s v="MANATI"/>
    <s v="Farmaceútica"/>
    <x v="5"/>
    <n v="1050000"/>
    <n v="0"/>
    <n v="0"/>
    <n v="1050000"/>
    <n v="300"/>
    <m/>
    <n v="17107054"/>
    <m/>
  </r>
  <r>
    <s v="FE-2018-2019-0102"/>
    <s v="2020-000143-A"/>
    <x v="125"/>
    <d v="2019-09-19T00:00:00"/>
    <s v="18/9/2024"/>
    <s v="INCENT FEDE"/>
    <s v="Contract"/>
    <s v="G0316"/>
    <s v="GK MANUFACTURING "/>
    <s v="G0316 - GK MANUFACTURING "/>
    <s v="MANATI"/>
    <s v="Farmaceútica"/>
    <x v="2"/>
    <n v="3000000"/>
    <n v="0"/>
    <n v="242178.89"/>
    <n v="2757821.11"/>
    <n v="0"/>
    <n v="9418296"/>
    <m/>
    <m/>
  </r>
  <r>
    <s v="FIE-2019-2020-IIP-0089"/>
    <s v="En Proceso"/>
    <x v="126"/>
    <s v="En Proceso"/>
    <s v=""/>
    <s v="INCENT ESP"/>
    <s v="Assignment"/>
    <m/>
    <s v="GLOBAL MANUFACTURER PRODUCTS CORPORATION"/>
    <s v="GLOBAL MANUFACTURER PRODUCTS CORPORATION"/>
    <s v="JUANA DIAZ"/>
    <s v="BOX SPRINGS Y MATRESSESES                                                       "/>
    <x v="5"/>
    <n v="8400"/>
    <n v="0"/>
    <n v="0"/>
    <n v="8400"/>
    <n v="8"/>
    <m/>
    <n v="137280"/>
    <m/>
  </r>
  <r>
    <s v="FIE-2019-2020-IIP-0090"/>
    <s v="En Proceso"/>
    <x v="126"/>
    <s v="En Proceso"/>
    <s v=""/>
    <s v="INCENT ESP"/>
    <s v="Assignment"/>
    <m/>
    <s v="GLOBAL MANUFACTURER PRODUCTS CORPORATION"/>
    <s v="GLOBAL MANUFACTURER PRODUCTS CORPORATION"/>
    <s v="JUANA DIAZ"/>
    <s v="BOX SPRINGS Y MATRESSESES                                                       "/>
    <x v="2"/>
    <n v="240000"/>
    <n v="0"/>
    <n v="0"/>
    <n v="240000"/>
    <n v="0"/>
    <n v="451040"/>
    <m/>
    <m/>
  </r>
  <r>
    <s v="FIE-2018-2019-IIP-0011"/>
    <s v="2019-000494"/>
    <x v="2"/>
    <d v="2019-06-27T00:00:00"/>
    <s v=""/>
    <s v="INCENT ESP"/>
    <s v="Contract"/>
    <s v="G5370"/>
    <s v="GLOBAL MANUFACTURING LLC"/>
    <s v="G5370 - GLOBAL MANUFACTURING LLC"/>
    <s v="JUANA DIAZ"/>
    <s v="BOX SPRINGS Y MATRESSESES                                                       "/>
    <x v="12"/>
    <n v="50000"/>
    <n v="0"/>
    <n v="1820"/>
    <n v="48180"/>
    <n v="0"/>
    <s v=""/>
    <s v=""/>
    <m/>
  </r>
  <r>
    <s v="FIE-2018-2019-IEE-0066"/>
    <s v="2019-000431"/>
    <x v="12"/>
    <d v="2019-05-07T00:00:00"/>
    <s v=""/>
    <s v="INCENT ESP"/>
    <s v="Contract"/>
    <s v="G5370"/>
    <s v="GLOBAL MANUFACTURING LLC"/>
    <s v="G5370 - GLOBAL MANUFACTURING LLC"/>
    <s v="JUANA DIAZ"/>
    <s v="BOX SPRINGS Y MATRESSESES                                                       "/>
    <x v="6"/>
    <n v="75648"/>
    <n v="0"/>
    <n v="75648"/>
    <n v="0"/>
    <n v="0"/>
    <s v=""/>
    <s v=""/>
    <m/>
  </r>
  <r>
    <s v="FIE-2018-2019-IEE-0067"/>
    <s v="2019-000431-A"/>
    <x v="12"/>
    <d v="2019-05-31T00:00:00"/>
    <s v=""/>
    <s v="INCENT ESP"/>
    <s v="Contract"/>
    <s v="G5370"/>
    <s v="GLOBAL MANUFACTURING LLC"/>
    <s v="G5370 - GLOBAL MANUFACTURING LLC"/>
    <s v="JUANA DIAZ"/>
    <s v="BOX SPRINGS Y MATRESSESES                                                       "/>
    <x v="6"/>
    <n v="52056"/>
    <n v="0"/>
    <n v="52056"/>
    <n v="0"/>
    <n v="0"/>
    <s v=""/>
    <s v=""/>
    <m/>
  </r>
  <r>
    <s v="FIE-2018-2019-IEE-0089"/>
    <s v="2019-000431-B"/>
    <x v="127"/>
    <d v="2019-08-14T00:00:00"/>
    <s v=""/>
    <s v="INCENT ESP"/>
    <s v="Contract"/>
    <s v="G5370"/>
    <s v="GLOBAL MANUFACTURING LLC"/>
    <s v="G5370 - GLOBAL MANUFACTURING LLC"/>
    <s v="JUANA DIAZ"/>
    <s v="BOX SPRINGS Y MATRESSESES                                                       "/>
    <x v="6"/>
    <n v="22295"/>
    <n v="0"/>
    <n v="22295"/>
    <n v="0"/>
    <n v="0"/>
    <s v=""/>
    <s v=""/>
    <m/>
  </r>
  <r>
    <s v="FIE-2019-2020-IEE-0067"/>
    <s v="2020-000270"/>
    <x v="96"/>
    <d v="2019-12-09T00:00:00"/>
    <s v=""/>
    <s v="INCENT ESP"/>
    <s v="Contract"/>
    <s v="G5370"/>
    <s v="GLOBAL MANUFACTURING LLC"/>
    <s v="G5370 - GLOBAL MANUFACTURING LLC"/>
    <s v="JUANA DIAZ"/>
    <s v="BOX SPRINGS Y MATRESSESES                                                       "/>
    <x v="6"/>
    <n v="60920"/>
    <n v="0"/>
    <n v="60920"/>
    <n v="0"/>
    <n v="0"/>
    <s v=""/>
    <s v=""/>
    <m/>
  </r>
  <r>
    <s v="FIE-2019-2020-IEE-0135"/>
    <s v="2020-000270-A"/>
    <x v="72"/>
    <d v="2020-06-28T00:00:00"/>
    <s v=""/>
    <s v="INCENT ESP"/>
    <s v="Contract"/>
    <s v="G5370"/>
    <s v="GLOBAL MANUFACTURING LLC"/>
    <s v="G5370 - GLOBAL MANUFACTURING LLC"/>
    <s v="JUANA DIAZ"/>
    <s v="BOX SPRINGS Y MATRESSESES                                                       "/>
    <x v="6"/>
    <n v="79615"/>
    <n v="0"/>
    <n v="0"/>
    <n v="79615"/>
    <n v="0"/>
    <s v=""/>
    <s v=""/>
    <m/>
  </r>
  <r>
    <s v="FIE-2019-2020-IEE-0133"/>
    <s v="2020-000270-B"/>
    <x v="72"/>
    <d v="2020-06-28T00:00:00"/>
    <s v=""/>
    <s v="INCENT ESP"/>
    <s v="Contract"/>
    <s v="G5370"/>
    <s v="GLOBAL MANUFACTURING LLC"/>
    <s v="G5370 - GLOBAL MANUFACTURING LLC"/>
    <s v="JUANA DIAZ"/>
    <s v="BOX SPRINGS Y MATRESSESES                                                       "/>
    <x v="6"/>
    <n v="9464.4500000000007"/>
    <n v="0"/>
    <n v="0"/>
    <n v="9464.4500000000007"/>
    <n v="0"/>
    <s v=""/>
    <s v=""/>
    <m/>
  </r>
  <r>
    <s v="FIE-2016-2017-IIP-0064"/>
    <s v="2018-000191"/>
    <x v="128"/>
    <d v="2017-12-19T00:00:00"/>
    <s v=""/>
    <s v="INCENT ESP"/>
    <s v="Contract"/>
    <s v="G0248"/>
    <s v="GLOBAL-TEK MANUFACTURING, LLC"/>
    <s v="G0248 - GLOBAL-TEK MANUFACTURING, LLC"/>
    <s v="CEIBA"/>
    <s v="Manufactura de Piezas de Metal Especializadas"/>
    <x v="1"/>
    <n v="101750"/>
    <n v="0"/>
    <n v="101750"/>
    <n v="0"/>
    <n v="0"/>
    <n v="300000"/>
    <m/>
    <m/>
  </r>
  <r>
    <s v="FIE-2016-2017-IIP-0065"/>
    <s v="2018-000193"/>
    <x v="129"/>
    <d v="2017-12-19T00:00:00"/>
    <s v=""/>
    <s v="INCENT ESP"/>
    <s v="Contract"/>
    <s v="G0248"/>
    <s v="GLOBAL-TEK MANUFACTURING, LLC"/>
    <s v="G0248 - GLOBAL-TEK MANUFACTURING, LLC"/>
    <s v="CEIBA"/>
    <s v="Manufactura de Piezas de Metal Especializadas"/>
    <x v="5"/>
    <n v="22400"/>
    <n v="0"/>
    <n v="22400"/>
    <n v="0"/>
    <n v="16"/>
    <m/>
    <n v="380000"/>
    <m/>
  </r>
  <r>
    <s v="FIE-2018-2019-IIP-0038"/>
    <s v="2020-000096"/>
    <x v="114"/>
    <d v="2019-08-16T00:00:00"/>
    <s v=""/>
    <s v="INCENT ESP"/>
    <s v="Contract"/>
    <s v="G0248"/>
    <s v="GLOBAL-TEK MANUFACTURING, LLC"/>
    <s v="G0248 - GLOBAL-TEK MANUFACTURING, LLC"/>
    <s v="CEIBA"/>
    <s v="Manufactura de Piezas de Metal Especializadas"/>
    <x v="1"/>
    <n v="107116"/>
    <n v="0"/>
    <n v="0"/>
    <n v="107116"/>
    <n v="0"/>
    <s v=""/>
    <s v=""/>
    <m/>
  </r>
  <r>
    <s v="FIE-2018-2019-IIP-0030"/>
    <s v="2020-000061"/>
    <x v="20"/>
    <d v="2019-07-24T00:00:00"/>
    <s v=""/>
    <s v="INCENT ESP"/>
    <s v="Contract"/>
    <s v="G0315"/>
    <s v="GO SOCIAL GROUP LLC"/>
    <s v="G0315 - GO SOCIAL GROUP LLC"/>
    <s v="SAN JUAN"/>
    <s v="Tecnología"/>
    <x v="7"/>
    <n v="50000"/>
    <n v="0"/>
    <n v="25000"/>
    <n v="25000"/>
    <n v="0"/>
    <s v=""/>
    <s v=""/>
    <m/>
  </r>
  <r>
    <s v="FIE-2017-2018-IIP-0025"/>
    <s v="2018-000176"/>
    <x v="60"/>
    <d v="2017-12-15T00:00:00"/>
    <s v=""/>
    <s v="INCENT ESP"/>
    <s v="Contract"/>
    <s v="G0288"/>
    <s v="GONZALEZ CONDE, VICTOR"/>
    <s v="G0288 - GONZALEZ CONDE, VICTOR"/>
    <s v="SAN JUAN"/>
    <s v="Incentivo de Emergencias Huracanes - Generadores"/>
    <x v="3"/>
    <n v="50000"/>
    <n v="50000"/>
    <n v="0"/>
    <n v="0"/>
    <n v="0"/>
    <s v=""/>
    <s v=""/>
    <m/>
  </r>
  <r>
    <s v="FIE-2017-2018-IIP-0004"/>
    <s v="2018-000127"/>
    <x v="24"/>
    <d v="2017-11-02T00:00:00"/>
    <s v=""/>
    <s v="INCENT ESP"/>
    <s v="Contract"/>
    <s v="G0119"/>
    <s v="GONZALEZ ELIAS, NADJA M. "/>
    <s v="G0119 - GONZALEZ ELIAS, NADJA M. "/>
    <s v="SAN JUAN"/>
    <s v="Programa Artesanía"/>
    <x v="4"/>
    <n v="1260"/>
    <n v="0"/>
    <n v="1260"/>
    <n v="0"/>
    <n v="0"/>
    <s v=""/>
    <s v=""/>
    <m/>
  </r>
  <r>
    <s v="FIE-2017-2018-IIP-0004"/>
    <s v="2019-000064"/>
    <x v="24"/>
    <d v="2018-08-07T00:00:00"/>
    <s v=""/>
    <s v="INCENT ESP"/>
    <s v="Contract"/>
    <s v="G0300"/>
    <s v="GONZALEZ MARTINEZ, SYLVIA R."/>
    <s v="G0300 - GONZALEZ MARTINEZ, SYLVIA R."/>
    <s v="SAN JUAN"/>
    <s v="Programa Artesanía"/>
    <x v="4"/>
    <n v="1677"/>
    <n v="189.7"/>
    <n v="1487.3"/>
    <n v="0"/>
    <n v="0"/>
    <s v=""/>
    <s v=""/>
    <m/>
  </r>
  <r>
    <s v="FIE-2017-2018-IIP-0089"/>
    <s v="2018-000223"/>
    <x v="130"/>
    <d v="2017-12-28T00:00:00"/>
    <s v=""/>
    <s v="INCENT ESP"/>
    <s v="Contract"/>
    <s v="G0289"/>
    <s v="GONZALEZ ROSADO, MANUEL A."/>
    <s v="G0289 - GONZALEZ ROSADO, MANUEL A."/>
    <s v="CATAÑO"/>
    <s v="Incentivo de Emergencias Huracanes - Generadores"/>
    <x v="3"/>
    <n v="24200"/>
    <n v="0"/>
    <n v="24200"/>
    <n v="0"/>
    <n v="0"/>
    <s v=""/>
    <s v=""/>
    <m/>
  </r>
  <r>
    <s v="FIE-2016-2017-IIP-0004"/>
    <s v="2017-000468"/>
    <x v="6"/>
    <d v="2017-06-26T00:00:00"/>
    <s v=""/>
    <s v="INCENT ESP"/>
    <s v="Contract"/>
    <s v="G0285"/>
    <s v="GONZALEZ ROSARIO, ADA N."/>
    <s v="G0285 - GONZALEZ ROSARIO, ADA N."/>
    <s v="SAN JUAN"/>
    <s v="Programa Artesanía"/>
    <x v="4"/>
    <n v="750"/>
    <n v="0"/>
    <n v="750"/>
    <n v="0"/>
    <n v="0"/>
    <s v=""/>
    <s v=""/>
    <m/>
  </r>
  <r>
    <s v="FIE-2018-2019-IIP-0012"/>
    <s v="2019-000130"/>
    <x v="2"/>
    <d v="2018-09-10T00:00:00"/>
    <s v=""/>
    <s v="INCENT ESP"/>
    <s v="Contract"/>
    <s v="G0304"/>
    <s v="GONZALEZ SANCHEZ, LEONEL"/>
    <s v="G0304 - GONZALEZ SANCHEZ, LEONEL"/>
    <s v="SAN JUAN"/>
    <s v="Programa Artesanía"/>
    <x v="4"/>
    <n v="1260"/>
    <n v="0"/>
    <n v="1260"/>
    <n v="0"/>
    <n v="0"/>
    <s v=""/>
    <s v=""/>
    <m/>
  </r>
  <r>
    <s v="FIE-2017-2018-IIP-0004"/>
    <s v="2018-000120"/>
    <x v="24"/>
    <d v="2017-11-03T00:00:00"/>
    <s v=""/>
    <s v="INCENT ESP"/>
    <s v="Contract"/>
    <s v="G0243"/>
    <s v="GRANA RAFFUCCI, MAYRA S."/>
    <s v="G0243 - GRANA RAFFUCCI, MAYRA S."/>
    <s v="SAN JUAN"/>
    <s v="Programa Artesanía"/>
    <x v="4"/>
    <n v="1080"/>
    <n v="0"/>
    <n v="1080"/>
    <n v="0"/>
    <n v="0"/>
    <s v=""/>
    <s v=""/>
    <m/>
  </r>
  <r>
    <s v="FIE-2017-2018-IIP-0022"/>
    <s v="2018-000143"/>
    <x v="60"/>
    <d v="2017-11-16T00:00:00"/>
    <s v=""/>
    <s v="INCENT ESP"/>
    <s v="Contract"/>
    <s v="G0287"/>
    <s v="GRAPHIC WORLD"/>
    <s v="G0287 - GRAPHIC WORLD"/>
    <s v="SAN JUAN"/>
    <s v="Manufactura"/>
    <x v="1"/>
    <n v="25000"/>
    <n v="25000"/>
    <n v="0"/>
    <n v="0"/>
    <n v="0"/>
    <s v=""/>
    <s v=""/>
    <m/>
  </r>
  <r>
    <s v="FIE-2018-2019-IIE-0082"/>
    <s v="2020-000043"/>
    <x v="131"/>
    <d v="2019-07-19T00:00:00"/>
    <s v=""/>
    <s v="INCENT ESP"/>
    <s v="Contract"/>
    <s v="G0307"/>
    <s v="GREEN EARTH TEK PR LLC"/>
    <s v="G0307 - GREEN EARTH TEK PR LLC"/>
    <s v="LUQUILLO"/>
    <s v="Fabricación de recubrimiento"/>
    <x v="5"/>
    <n v="12000"/>
    <n v="0"/>
    <n v="0"/>
    <n v="12000"/>
    <n v="12"/>
    <m/>
    <n v="250000"/>
    <m/>
  </r>
  <r>
    <s v="FIE-2018-2019-IIE-0083"/>
    <s v="2020-000042"/>
    <x v="131"/>
    <d v="2019-07-19T00:00:00"/>
    <s v=""/>
    <s v="INCENT ESP"/>
    <s v="Contract"/>
    <s v="G0307"/>
    <s v="GREEN EARTH TEK PR LLC"/>
    <s v="G0307 - GREEN EARTH TEK PR LLC"/>
    <s v="LUQUILLO"/>
    <s v="Fabricación de recubrimiento"/>
    <x v="1"/>
    <n v="238000"/>
    <n v="0"/>
    <n v="0"/>
    <n v="238000"/>
    <n v="0"/>
    <n v="80000"/>
    <m/>
    <m/>
  </r>
  <r>
    <s v="FIE-2016-2017-IIP-0031"/>
    <s v="2017-000244"/>
    <x v="132"/>
    <d v="2016-12-05T00:00:00"/>
    <s v=""/>
    <s v="INCENT ESP"/>
    <s v="Contract"/>
    <s v="G0268"/>
    <s v="GREEN ENERGY FOR ALL, LLC"/>
    <s v="G0268 - GREEN ENERGY FOR ALL, LLC"/>
    <s v="COAMO"/>
    <s v="Manufactura"/>
    <x v="5"/>
    <n v="9500"/>
    <n v="0"/>
    <n v="0"/>
    <n v="9500"/>
    <n v="5"/>
    <s v=""/>
    <s v=""/>
    <m/>
  </r>
  <r>
    <s v="FIE-2018-2019-IIP-0009"/>
    <s v="En Proceso"/>
    <x v="133"/>
    <s v="En Proceso"/>
    <s v=""/>
    <s v="INCENT ESP"/>
    <s v="Assignment"/>
    <s v="G0298"/>
    <s v="GREEN ENTERPRISES, LLC"/>
    <s v="G0298 - GREEN ENTERPRISES, LLC"/>
    <s v="GUANICA"/>
    <s v="Reciclaje y manufactura de productos derivados de neumáticos desechados"/>
    <x v="5"/>
    <n v="136000"/>
    <n v="136000"/>
    <n v="0"/>
    <n v="0"/>
    <n v="85"/>
    <n v="9700000"/>
    <n v="1315800"/>
    <m/>
  </r>
  <r>
    <s v="FE-2018-2019-0024"/>
    <s v="2019-000376"/>
    <x v="19"/>
    <d v="2019-03-28T00:00:00"/>
    <s v="27/3/2024"/>
    <s v="INCENT FEDE"/>
    <s v="Contract"/>
    <s v="G0298"/>
    <s v="GREEN ENTERPRISES, LLC"/>
    <s v="G0298 - GREEN ENTERPRISES, LLC"/>
    <s v="GUANICA"/>
    <s v="Reciclaje y manufactura de productos derivados de neumáticos desechados"/>
    <x v="1"/>
    <n v="420000"/>
    <n v="420000"/>
    <n v="0"/>
    <n v="0"/>
    <n v="0"/>
    <s v=""/>
    <s v=""/>
    <m/>
  </r>
  <r>
    <s v="FIE-2016-2017-IIP-0006"/>
    <s v="2017-000462"/>
    <x v="6"/>
    <d v="2017-06-19T00:00:00"/>
    <s v=""/>
    <s v="INCENT ESP"/>
    <s v="Contract"/>
    <s v="G0282"/>
    <s v="GREEN PALACE CONVENTION CENTER "/>
    <s v="G0282 - GREEN PALACE CONVENTION CENTER "/>
    <s v="SAN JUAN"/>
    <s v="Programa Artesanía"/>
    <x v="4"/>
    <n v="2500"/>
    <n v="0"/>
    <n v="2500"/>
    <n v="0"/>
    <n v="0"/>
    <s v=""/>
    <s v=""/>
    <m/>
  </r>
  <r>
    <s v="FIE-2017-2018-IIP-0004"/>
    <s v="2018-000324"/>
    <x v="24"/>
    <d v="2018-03-14T00:00:00"/>
    <s v=""/>
    <s v="INCENT ESP"/>
    <s v="Contract"/>
    <s v="G0099"/>
    <s v="GREGORY MERCADO, EFREN J."/>
    <s v="G0099 - GREGORY MERCADO, EFREN J."/>
    <s v="SAN JUAN"/>
    <s v="Programa Artesanía"/>
    <x v="4"/>
    <n v="700"/>
    <n v="0"/>
    <n v="700"/>
    <n v="0"/>
    <n v="0"/>
    <s v=""/>
    <s v=""/>
    <m/>
  </r>
  <r>
    <s v="FIE-2018-2019-IIP-0012"/>
    <s v="2019-000120"/>
    <x v="2"/>
    <d v="2018-09-06T00:00:00"/>
    <s v=""/>
    <s v="INCENT ESP"/>
    <s v="Contract"/>
    <s v="G0099"/>
    <s v="GREGORY MERCADO, EFREN J."/>
    <s v="G0099 - GREGORY MERCADO, EFREN J."/>
    <s v="SAN JUAN"/>
    <s v="Programa Artesanía"/>
    <x v="4"/>
    <n v="1260"/>
    <n v="0"/>
    <n v="1260"/>
    <n v="0"/>
    <n v="0"/>
    <s v=""/>
    <s v=""/>
    <m/>
  </r>
  <r>
    <s v="FIE-2018-2019-IIP-0036"/>
    <s v="2020-000282"/>
    <x v="22"/>
    <d v="2019-12-20T00:00:00"/>
    <s v=""/>
    <s v="INCENT ESP"/>
    <s v="Contract"/>
    <s v="G0320"/>
    <s v="GROWPONICS-PR LLC"/>
    <s v="G0320 - GROWPONICS-PR LLC"/>
    <s v="SAN JUAN"/>
    <s v="Alimentos"/>
    <x v="10"/>
    <n v="250000"/>
    <n v="0"/>
    <n v="225000"/>
    <n v="25000"/>
    <n v="0"/>
    <s v=""/>
    <s v=""/>
    <m/>
  </r>
  <r>
    <s v="FIE-2018-2019-IIP-0030"/>
    <s v="2019-000356-A"/>
    <x v="20"/>
    <d v="2019-03-19T00:00:00"/>
    <s v=""/>
    <s v="INCENT ESP"/>
    <s v="Contract"/>
    <s v="G0309"/>
    <s v="GUARDDV, INC."/>
    <s v="G0309 - GUARDDV, INC."/>
    <s v="SAN JUAN"/>
    <s v="Tecnología"/>
    <x v="7"/>
    <n v="50000"/>
    <n v="0"/>
    <n v="35775.21"/>
    <n v="14224.79"/>
    <n v="0"/>
    <s v=""/>
    <s v=""/>
    <m/>
  </r>
  <r>
    <s v="FIE-2018-2019-IIP-0030"/>
    <s v="2019-000255-B"/>
    <x v="20"/>
    <d v="2019-03-04T00:00:00"/>
    <s v=""/>
    <s v="INCENT ESP"/>
    <s v="Contract"/>
    <s v="G0306"/>
    <s v="GUAWA, LLC"/>
    <s v="G0306 - GUAWA, LLC"/>
    <s v="SAN JUAN"/>
    <s v="Tecnología"/>
    <x v="7"/>
    <n v="20000"/>
    <n v="0"/>
    <n v="10000"/>
    <n v="10000"/>
    <n v="0"/>
    <s v=""/>
    <s v=""/>
    <m/>
  </r>
  <r>
    <s v="FE-2017-2018-0031"/>
    <s v="2018-000409-A"/>
    <x v="117"/>
    <d v="2018-10-10T00:00:00"/>
    <s v="26/12/2023"/>
    <s v="INCENT FEDE"/>
    <s v="Contract"/>
    <s v="G0299"/>
    <s v="GUIDANT PUERTO RICO BV "/>
    <s v="G0299 - GUIDANT PUERTO RICO BV "/>
    <s v="DORADO"/>
    <s v="Medical Device"/>
    <x v="5"/>
    <n v="2365657"/>
    <n v="0"/>
    <n v="1626301.95"/>
    <n v="739355.05"/>
    <n v="152"/>
    <s v=""/>
    <n v="8100000"/>
    <m/>
  </r>
  <r>
    <s v="FE-2018-2019-0017"/>
    <s v="2019-000153-A"/>
    <x v="103"/>
    <d v="2019-06-04T00:00:00"/>
    <d v="2023-10-10T00:00:00"/>
    <s v="INCENT FEDE"/>
    <s v="Contract"/>
    <s v="G0299"/>
    <s v="GUIDANT PUERTO RICO BV "/>
    <s v="G0299 - GUIDANT PUERTO RICO BV "/>
    <s v="DORADO"/>
    <s v="Medical Device"/>
    <x v="1"/>
    <n v="3300000"/>
    <n v="0"/>
    <n v="3223790.2"/>
    <n v="76209.799999999814"/>
    <n v="0"/>
    <n v="38400000"/>
    <s v=""/>
    <m/>
  </r>
  <r>
    <s v="FE-2019-2020-0052"/>
    <s v="En Proceso"/>
    <x v="134"/>
    <s v="En Proceso"/>
    <s v=""/>
    <s v="INCENT FEDE"/>
    <s v="Assignment"/>
    <s v="G0299"/>
    <s v="GUIDANT PUERTO RICO BV "/>
    <s v="G0299 - GUIDANT PUERTO RICO BV "/>
    <s v="DORADO"/>
    <s v="Medical Device"/>
    <x v="5"/>
    <n v="45000"/>
    <n v="0"/>
    <n v="0"/>
    <n v="45000"/>
    <n v="0"/>
    <m/>
    <n v="8100000"/>
    <m/>
  </r>
  <r>
    <s v="FE-2019-2020-0051"/>
    <s v="En Proceso"/>
    <x v="134"/>
    <s v="En Proceso"/>
    <s v=""/>
    <s v="INCENT FEDE"/>
    <s v="Assignment"/>
    <s v="G0299"/>
    <s v="GUIDANT PUERTO RICO BV "/>
    <s v="G0299 - GUIDANT PUERTO RICO BV "/>
    <s v="DORADO"/>
    <s v="Medical Device"/>
    <x v="2"/>
    <n v="1250000"/>
    <n v="0"/>
    <n v="0"/>
    <n v="1250000"/>
    <n v="0"/>
    <n v="6300000"/>
    <m/>
    <m/>
  </r>
  <r>
    <s v="FE-2019-2020-0066"/>
    <s v="En Proceso"/>
    <x v="134"/>
    <s v="En Proceso"/>
    <s v=""/>
    <s v="INCENT FEDE"/>
    <s v="Assignment"/>
    <s v="G0299"/>
    <s v="GUIDANT PUERTO RICO BV "/>
    <s v="G0299 - GUIDANT PUERTO RICO BV "/>
    <s v="DORADO"/>
    <s v="Medical Device"/>
    <x v="19"/>
    <n v="900000"/>
    <n v="0"/>
    <n v="0"/>
    <n v="900000"/>
    <n v="0"/>
    <m/>
    <m/>
    <m/>
  </r>
  <r>
    <s v="FIE60-2020-2021-0009"/>
    <s v="2021-000045"/>
    <x v="66"/>
    <d v="2020-07-23T00:00:00"/>
    <d v="2025-07-22T00:00:00"/>
    <s v="INCENT LEY 60"/>
    <s v="Contract"/>
    <s v="G0299"/>
    <s v="GUIDANT PUERTO RICO BV "/>
    <s v="G0299 - GUIDANT PUERTO RICO BV "/>
    <s v="DORADO"/>
    <s v="Medical Device"/>
    <x v="8"/>
    <n v="280000"/>
    <n v="0"/>
    <n v="0"/>
    <n v="280000"/>
    <n v="80"/>
    <m/>
    <n v="3200000"/>
    <n v="5"/>
  </r>
  <r>
    <s v="FIE60-2020-2021-0010"/>
    <s v="2021-000044"/>
    <x v="66"/>
    <d v="2020-07-23T00:00:00"/>
    <d v="2025-07-22T00:00:00"/>
    <s v="INCENT LEY 60"/>
    <s v="Contract"/>
    <s v="G0299"/>
    <s v="GUIDANT PUERTO RICO BV "/>
    <s v="G0299 - GUIDANT PUERTO RICO BV "/>
    <s v="DORADO"/>
    <s v="Medical Device"/>
    <x v="9"/>
    <n v="7381750"/>
    <n v="0"/>
    <n v="2877180.71"/>
    <n v="4504569.29"/>
    <n v="0"/>
    <n v="23200000"/>
    <m/>
    <n v="5"/>
  </r>
  <r>
    <s v="FIE-2017-2018-IIP-0020"/>
    <s v="2018-000152"/>
    <x v="135"/>
    <d v="2017-11-29T00:00:00"/>
    <s v=""/>
    <s v="INCENT ESP"/>
    <s v="Contract"/>
    <s v="H0062"/>
    <s v="H &amp; E HOME, INC."/>
    <s v="H0062 - H &amp; E HOME, INC."/>
    <s v="CAGUAS"/>
    <s v="Incentivo de Emergencias Huracanes - Generadores"/>
    <x v="3"/>
    <n v="25000"/>
    <n v="25000"/>
    <n v="0"/>
    <n v="0"/>
    <n v="0"/>
    <s v=""/>
    <s v=""/>
    <m/>
  </r>
  <r>
    <s v="FIE-2018-2019-IIP-0036"/>
    <s v="2021-000076"/>
    <x v="22"/>
    <d v="2020-08-31T00:00:00"/>
    <s v=""/>
    <s v="INCENT ESP"/>
    <s v="Contract"/>
    <s v="H0166"/>
    <s v="HACIENDA JUJEMI, INC."/>
    <s v="H0166 - HACIENDA JUJEMI, INC."/>
    <s v="SAN JUAN"/>
    <s v="Alimentos"/>
    <x v="10"/>
    <n v="64721.01"/>
    <n v="0"/>
    <n v="0"/>
    <n v="64721.01"/>
    <n v="0"/>
    <n v="10600"/>
    <n v="26000"/>
    <m/>
  </r>
  <r>
    <s v="FIE-2018-2019-IIP-0036"/>
    <s v="2020-000311"/>
    <x v="22"/>
    <d v="2020-01-29T00:00:00"/>
    <s v=""/>
    <s v="INCENT ESP"/>
    <s v="Contract"/>
    <s v="H0153"/>
    <s v="HACIENDA LOS AMIGOS CORPORATION"/>
    <s v="H0153 - HACIENDA LOS AMIGOS CORPORATION"/>
    <s v="AIBONITO"/>
    <s v="Alimentos"/>
    <x v="10"/>
    <n v="17480.189999999999"/>
    <n v="0"/>
    <n v="0"/>
    <n v="17480.189999999999"/>
    <n v="0"/>
    <s v=""/>
    <s v=""/>
    <m/>
  </r>
  <r>
    <s v="FIE-2018-2019-IIP-0036"/>
    <s v="2020-000434"/>
    <x v="22"/>
    <d v="2020-06-28T00:00:00"/>
    <s v=""/>
    <s v="INCENT ESP"/>
    <s v="Contract"/>
    <s v="H0170"/>
    <s v="HACIENDA TIERRA ALTA, INC. "/>
    <s v="H0170 - HACIENDA TIERRA ALTA, INC. "/>
    <s v="SAN JUAN"/>
    <s v="Alimentos"/>
    <x v="10"/>
    <n v="87240"/>
    <n v="0"/>
    <n v="0"/>
    <n v="87240"/>
    <n v="0"/>
    <s v=""/>
    <s v=""/>
    <m/>
  </r>
  <r>
    <s v="FIE-2018-2019-IIP-0036"/>
    <s v="2021-000024"/>
    <x v="22"/>
    <d v="2020-07-22T00:00:00"/>
    <s v=""/>
    <s v="INCENT ESP"/>
    <s v="Contract"/>
    <s v="H0164"/>
    <s v="HACIENDA VALENCIA, INC."/>
    <s v="H0164 - HACIENDA VALENCIA, INC."/>
    <s v="SAN SEBASTIAN"/>
    <s v="Alimentos"/>
    <x v="10"/>
    <n v="97687"/>
    <n v="0"/>
    <n v="0"/>
    <n v="97687"/>
    <n v="0"/>
    <n v="195375"/>
    <n v="16375"/>
    <m/>
  </r>
  <r>
    <s v="FE-2017-2018-0027"/>
    <s v="2019-000482"/>
    <x v="117"/>
    <d v="2018-12-19T00:00:00"/>
    <s v="18/6/2020"/>
    <s v="INCENT FEDE"/>
    <s v="Contract"/>
    <s v="H1300"/>
    <s v="HAMILTON SUNDSTRAND DE PR INC."/>
    <s v="H1300 - HAMILTON SUNDSTRAND DE PR INC."/>
    <s v="SANTA ISABEL"/>
    <s v="Aeroespacial"/>
    <x v="1"/>
    <n v="2000000"/>
    <n v="0"/>
    <n v="2000000"/>
    <n v="0"/>
    <n v="0"/>
    <s v=""/>
    <m/>
    <m/>
  </r>
  <r>
    <s v="FE-2018-2019-0052"/>
    <s v="2020-000098"/>
    <x v="32"/>
    <d v="2019-08-16T00:00:00"/>
    <s v="15/2/2025"/>
    <s v="INCENT FEDE"/>
    <s v="Contract"/>
    <s v="H1300"/>
    <s v="HAMILTON SUNDSTRAND DE PR INC."/>
    <s v="H1300 - HAMILTON SUNDSTRAND DE PR INC."/>
    <s v="SANTA ISABEL"/>
    <s v="Aeroespacial"/>
    <x v="5"/>
    <n v="1080000"/>
    <n v="0"/>
    <n v="186000"/>
    <n v="894000"/>
    <n v="432"/>
    <m/>
    <n v="17904000"/>
    <m/>
  </r>
  <r>
    <s v="FE-2018-2019-0056"/>
    <s v="2019-000473"/>
    <x v="32"/>
    <d v="2019-06-05T00:00:00"/>
    <d v="2024-04-06T00:00:00"/>
    <s v="INCENT FEDE"/>
    <s v="Contract"/>
    <s v="H1300"/>
    <s v="HAMILTON SUNDSTRAND DE PR INC."/>
    <s v="H1300 - HAMILTON SUNDSTRAND DE PR INC."/>
    <s v="SANTA ISABEL"/>
    <s v="Aeroespacial"/>
    <x v="1"/>
    <n v="5000000"/>
    <n v="0"/>
    <n v="5000000"/>
    <n v="0"/>
    <n v="0"/>
    <m/>
    <m/>
    <m/>
  </r>
  <r>
    <s v="FE-2018-2019-0053"/>
    <s v="En Proceso"/>
    <x v="32"/>
    <s v="En Proceso"/>
    <s v=""/>
    <s v="INCENT FEDE"/>
    <s v="Assignment"/>
    <s v="H1300"/>
    <s v="HAMILTON SUNDSTRAND DE PR INC."/>
    <s v="H1300 - HAMILTON SUNDSTRAND DE PR INC."/>
    <s v="SANTA ISABEL"/>
    <s v="Aeroespacial"/>
    <x v="1"/>
    <n v="2400000"/>
    <n v="0"/>
    <n v="0"/>
    <n v="2400000"/>
    <n v="0"/>
    <m/>
    <m/>
    <m/>
  </r>
  <r>
    <s v="FE-2018-2019-0054"/>
    <s v="En Proceso"/>
    <x v="32"/>
    <s v="En Proceso"/>
    <s v=""/>
    <s v="INCENT FEDE"/>
    <s v="Assignment"/>
    <s v="H1300"/>
    <s v="HAMILTON SUNDSTRAND DE PR INC."/>
    <s v="H1300 - HAMILTON SUNDSTRAND DE PR INC."/>
    <s v="SANTA ISABEL"/>
    <s v="Aeroespacial"/>
    <x v="1"/>
    <n v="5900000"/>
    <n v="0"/>
    <n v="0"/>
    <n v="5900000"/>
    <n v="0"/>
    <n v="22000000"/>
    <m/>
    <m/>
  </r>
  <r>
    <s v="FE-2018-2019-0055"/>
    <s v="2020-000097"/>
    <x v="32"/>
    <d v="2019-08-16T00:00:00"/>
    <s v="15/8/2024"/>
    <s v="INCENT FEDE"/>
    <s v="Contract"/>
    <s v="H1300"/>
    <s v="HAMILTON SUNDSTRAND DE PR INC."/>
    <s v="H1300 - HAMILTON SUNDSTRAND DE PR INC."/>
    <s v="SANTA ISABEL"/>
    <s v="Aeroespacial"/>
    <x v="2"/>
    <n v="2588000"/>
    <n v="0"/>
    <n v="2588000"/>
    <n v="0"/>
    <n v="0"/>
    <n v="8000000"/>
    <m/>
    <m/>
  </r>
  <r>
    <s v="FE-2019-2020-0001"/>
    <s v="En Proceso"/>
    <x v="4"/>
    <s v="En Proceso"/>
    <s v=""/>
    <s v="INCENT FEDE"/>
    <s v="Assignment"/>
    <m/>
    <s v="HARRIS CORPORATION"/>
    <s v="HARRIS CORPORATION"/>
    <s v="SAN JUAN"/>
    <s v="Tecnología"/>
    <x v="5"/>
    <n v="385000"/>
    <n v="0"/>
    <n v="0"/>
    <n v="385000"/>
    <n v="77"/>
    <n v="1000000"/>
    <n v="6500000"/>
    <m/>
  </r>
  <r>
    <s v="FE-2019-2020-0002"/>
    <s v="En Proceso"/>
    <x v="4"/>
    <s v="En Proceso"/>
    <s v=""/>
    <s v="INCENT FEDE"/>
    <s v="Assignment"/>
    <m/>
    <s v="HARRIS CORPORATION"/>
    <s v="HARRIS CORPORATION"/>
    <s v="SAN JUAN"/>
    <s v="Tecnología"/>
    <x v="2"/>
    <n v="1000000"/>
    <n v="0"/>
    <n v="0"/>
    <n v="1000000"/>
    <n v="0"/>
    <n v="1000000"/>
    <n v="6500000"/>
    <m/>
  </r>
  <r>
    <s v="FIE-2018-2019-IIP-0036"/>
    <s v="2020-000327"/>
    <x v="22"/>
    <d v="2020-02-07T00:00:00"/>
    <s v=""/>
    <s v="INCENT ESP"/>
    <s v="Contract"/>
    <s v="H0154"/>
    <s v="HECTOR SEDA H/N/C FINCA H.SEDA"/>
    <s v="H0154 - HECTOR SEDA H/N/C FINCA H.SEDA"/>
    <s v="SANTA ISABEL"/>
    <s v="Alimentos"/>
    <x v="10"/>
    <n v="167774.25"/>
    <n v="0"/>
    <n v="0"/>
    <n v="167774.25"/>
    <n v="0"/>
    <n v="223700"/>
    <n v="15080"/>
    <m/>
  </r>
  <r>
    <s v="FIE-2016-2017-IIP-0004"/>
    <s v="2017-000150"/>
    <x v="6"/>
    <d v="2016-09-01T00:00:00"/>
    <s v=""/>
    <s v="INCENT ESP"/>
    <s v="Contract"/>
    <s v="H0128"/>
    <s v="HERNANDEZ TORRES, IRIS Z."/>
    <s v="H0128 - HERNANDEZ TORRES, IRIS Z."/>
    <s v="SAN JUAN"/>
    <s v="Programa Artesanía"/>
    <x v="4"/>
    <n v="900"/>
    <n v="0"/>
    <n v="900"/>
    <n v="0"/>
    <n v="0"/>
    <s v=""/>
    <s v=""/>
    <m/>
  </r>
  <r>
    <s v="FIE-2017-2018-IIP-0077"/>
    <s v="2018-000240"/>
    <x v="5"/>
    <d v="2017-12-22T00:00:00"/>
    <s v=""/>
    <s v="INCENT ESP"/>
    <s v="Contract"/>
    <s v="H0138"/>
    <s v="HERRERO GRAPHIC PRINTING, INC."/>
    <s v="H0138 - HERRERO GRAPHIC PRINTING, INC."/>
    <s v="SAN JUAN"/>
    <s v="Incentivo de Emergencias Huracanes - Generadores"/>
    <x v="3"/>
    <n v="21185"/>
    <n v="0"/>
    <n v="21185"/>
    <n v="0"/>
    <n v="0"/>
    <s v=""/>
    <s v=""/>
    <m/>
  </r>
  <r>
    <s v="FIE-2018-2019-IIE-0037"/>
    <s v="En Proceso"/>
    <x v="136"/>
    <s v="En Proceso"/>
    <s v=""/>
    <s v="INCENT ESP"/>
    <s v="Assignment"/>
    <m/>
    <s v="HEWLETT-PACKARD CARIBE BV "/>
    <s v="HEWLETT-PACKARD CARIBE BV "/>
    <s v="SAN JUAN"/>
    <s v="Tecnología"/>
    <x v="5"/>
    <n v="150000"/>
    <n v="0"/>
    <n v="0"/>
    <n v="150000"/>
    <n v="30"/>
    <n v="3000000"/>
    <n v="1500000"/>
    <m/>
  </r>
  <r>
    <s v="FIE-2018-2019-IIP-0036"/>
    <s v="2021-000023"/>
    <x v="22"/>
    <d v="2020-07-24T00:00:00"/>
    <s v=""/>
    <s v="INCENT ESP"/>
    <s v="Contract"/>
    <s v="H0163"/>
    <s v="HIDROCULTIVOS CAROLINENSES, INC."/>
    <s v="H0163 - HIDROCULTIVOS CAROLINENSES, INC."/>
    <s v="CAROLINA"/>
    <s v="Alimentos"/>
    <x v="10"/>
    <n v="300000"/>
    <n v="0"/>
    <n v="0"/>
    <n v="300000"/>
    <n v="0"/>
    <s v=""/>
    <s v=""/>
    <m/>
  </r>
  <r>
    <s v="FIE-2018-2019-IIP-0036"/>
    <s v="2021-000121"/>
    <x v="22"/>
    <d v="2020-09-28T00:00:00"/>
    <s v=""/>
    <s v="INCENT ESP"/>
    <s v="Contract"/>
    <s v="H0168"/>
    <s v="HIDROPONICOS DEL PAIS, INC."/>
    <s v="H0168 - HIDROPONICOS DEL PAIS, INC."/>
    <s v="SAN JUAN"/>
    <s v="Alimentos"/>
    <x v="10"/>
    <n v="240305"/>
    <n v="0"/>
    <n v="0"/>
    <n v="240305"/>
    <n v="0"/>
    <n v="1342204"/>
    <n v="300000"/>
    <m/>
  </r>
  <r>
    <s v="FE-2019-2020-0048"/>
    <s v="2020-000337"/>
    <x v="134"/>
    <d v="2020-02-06T00:00:00"/>
    <d v="2025-05-02T00:00:00"/>
    <s v="INCENT FEDE"/>
    <s v="Contract"/>
    <s v="H0149"/>
    <s v="HINDUSTAN PLATINUM PR LLC"/>
    <s v="H0149 - HINDUSTAN PLATINUM PR LLC"/>
    <s v="HUMACAO"/>
    <s v="Manufactura de diferentes tipos de contactos eléctricos"/>
    <x v="5"/>
    <n v="110000"/>
    <n v="0"/>
    <n v="0"/>
    <n v="110000"/>
    <n v="55"/>
    <m/>
    <n v="2907692"/>
    <m/>
  </r>
  <r>
    <s v="FE-2019-2020-0049"/>
    <s v="2020-000335"/>
    <x v="134"/>
    <d v="2020-02-06T00:00:00"/>
    <d v="2025-05-02T00:00:00"/>
    <s v="INCENT FEDE"/>
    <s v="Contract"/>
    <s v="H0149"/>
    <s v="HINDUSTAN PLATINUM PR LLC"/>
    <s v="H0149 - HINDUSTAN PLATINUM PR LLC"/>
    <s v="HUMACAO"/>
    <s v="Manufactura de diferentes tipos de contactos eléctricos"/>
    <x v="1"/>
    <n v="125000"/>
    <n v="0"/>
    <n v="0"/>
    <n v="125000"/>
    <n v="0"/>
    <n v="300000"/>
    <m/>
    <m/>
  </r>
  <r>
    <s v="FE-2019-2020-0050"/>
    <s v="2020-000336"/>
    <x v="134"/>
    <d v="2020-02-06T00:00:00"/>
    <d v="2025-05-02T00:00:00"/>
    <s v="INCENT FEDE"/>
    <s v="Contract"/>
    <s v="H0149"/>
    <s v="HINDUSTAN PLATINUM PR LLC"/>
    <s v="H0149 - HINDUSTAN PLATINUM PR LLC"/>
    <s v="HUMACAO"/>
    <s v="Manufactura de diferentes tipos de contactos eléctricos"/>
    <x v="2"/>
    <n v="125000"/>
    <n v="0"/>
    <n v="0"/>
    <n v="125000"/>
    <n v="0"/>
    <m/>
    <m/>
    <m/>
  </r>
  <r>
    <s v="FIE-2017-2018-IIP-0101"/>
    <s v="2018-000244"/>
    <x v="30"/>
    <d v="2017-12-29T00:00:00"/>
    <s v=""/>
    <s v="INCENT ESP"/>
    <s v="Contract"/>
    <s v="H5500"/>
    <s v="HISPALIS CORP."/>
    <s v="H5500 - HISPALIS CORP."/>
    <s v="SAN JUAN"/>
    <s v="Incentivo de Emergencias Huracanes - Generadores"/>
    <x v="3"/>
    <n v="25000"/>
    <n v="25000"/>
    <n v="0"/>
    <n v="0"/>
    <n v="0"/>
    <s v=""/>
    <s v=""/>
    <m/>
  </r>
  <r>
    <s v="FIE-2017-2018-IIP-0008"/>
    <s v="2018-000383"/>
    <x v="24"/>
    <d v="2018-06-12T00:00:00"/>
    <s v=""/>
    <s v="INCENT ESP"/>
    <s v="Contract"/>
    <s v="H6000"/>
    <s v="HI-TEC BRAKES MFG. CO."/>
    <s v="H6000 - HI-TEC BRAKES MFG. CO."/>
    <s v="SAN JUAN"/>
    <s v="Manufactura"/>
    <x v="0"/>
    <n v="50000"/>
    <n v="0"/>
    <n v="32572.61"/>
    <n v="17427.39"/>
    <n v="0"/>
    <s v=""/>
    <s v=""/>
    <m/>
  </r>
  <r>
    <s v="FIE-2017-2018-IIP-0108"/>
    <s v="2018-000325"/>
    <x v="137"/>
    <d v="2018-03-20T00:00:00"/>
    <s v=""/>
    <s v="INCENT ESP"/>
    <s v="Contract"/>
    <s v="H0145"/>
    <s v="HNOS. RODRIGUEZ GONZALEZ D/B/A "/>
    <s v="H0145 - HNOS. RODRIGUEZ GONZALEZ D/B/A "/>
    <s v="SAN JUAN"/>
    <s v="Programa Artesanía"/>
    <x v="4"/>
    <n v="5090.5"/>
    <n v="991.1"/>
    <n v="4099.3999999999996"/>
    <n v="0"/>
    <n v="0"/>
    <s v=""/>
    <s v=""/>
    <m/>
  </r>
  <r>
    <s v="FIE-2017-2018-IIP-0080"/>
    <s v="2018-000228"/>
    <x v="110"/>
    <d v="2017-12-29T00:00:00"/>
    <s v=""/>
    <s v="INCENT ESP"/>
    <s v="Contract"/>
    <s v="H0084"/>
    <s v="HOGAREA MFG, INC."/>
    <s v="H0084 - HOGAREA MFG, INC."/>
    <s v="SAN JUAN"/>
    <s v="Incentivo de Emergencias Huracanes - Generadores"/>
    <x v="3"/>
    <n v="3399.99"/>
    <n v="0"/>
    <n v="3399.99"/>
    <n v="0"/>
    <n v="0"/>
    <s v=""/>
    <s v=""/>
    <m/>
  </r>
  <r>
    <s v="FE-2017-2018-0022"/>
    <s v="2018-000348"/>
    <x v="33"/>
    <d v="2018-04-11T00:00:00"/>
    <d v="2023-10-04T00:00:00"/>
    <s v="INCENT FEDE"/>
    <s v="Contract"/>
    <s v="H0540"/>
    <s v="HONEYWELL AEROSPACE DE PR, INC."/>
    <s v="H0540 - HONEYWELL AEROSPACE DE PR, INC."/>
    <s v="AGUADILLA"/>
    <s v="Aeroespacial"/>
    <x v="2"/>
    <n v="2000000"/>
    <n v="0"/>
    <n v="1500000"/>
    <n v="500000"/>
    <n v="0"/>
    <n v="2000000"/>
    <n v="2580000"/>
    <m/>
  </r>
  <r>
    <s v="FE-2018-2019-0027"/>
    <s v="2019-000248"/>
    <x v="22"/>
    <d v="2019-01-22T00:00:00"/>
    <s v="21/1/2025"/>
    <s v="INCENT FEDE"/>
    <s v="Contract"/>
    <s v="H0540"/>
    <s v="HONEYWELL AEROSPACE DE PR, INC."/>
    <s v="H0540 - HONEYWELL AEROSPACE DE PR, INC."/>
    <s v="AGUADILLA"/>
    <s v="Aeroespacial"/>
    <x v="5"/>
    <n v="2000000"/>
    <n v="0"/>
    <n v="0"/>
    <n v="2000000"/>
    <n v="100"/>
    <m/>
    <n v="8000000"/>
    <m/>
  </r>
  <r>
    <s v="FE-2018-2019-0028"/>
    <s v="2019-000249"/>
    <x v="22"/>
    <d v="2019-01-22T00:00:00"/>
    <s v="21/1/2022"/>
    <s v="INCENT FEDE"/>
    <s v="Contract"/>
    <s v="H0540"/>
    <s v="HONEYWELL AEROSPACE DE PR, INC."/>
    <s v="H0540 - HONEYWELL AEROSPACE DE PR, INC."/>
    <s v="AGUADILLA"/>
    <s v="Aeroespacial"/>
    <x v="1"/>
    <n v="1500000"/>
    <n v="0"/>
    <n v="500000"/>
    <n v="1000000"/>
    <n v="0"/>
    <n v="2300000"/>
    <m/>
    <m/>
  </r>
  <r>
    <s v="FE-2018-2019-0029"/>
    <s v="2019-000250"/>
    <x v="22"/>
    <d v="2019-01-22T00:00:00"/>
    <s v="21/1/2021"/>
    <s v="INCENT FEDE"/>
    <s v="Contract"/>
    <s v="H0540"/>
    <s v="HONEYWELL AEROSPACE DE PR, INC."/>
    <s v="H0540 - HONEYWELL AEROSPACE DE PR, INC."/>
    <s v="AGUADILLA"/>
    <s v="Aeroespacial"/>
    <x v="19"/>
    <n v="1000000"/>
    <n v="0"/>
    <n v="500000"/>
    <n v="500000"/>
    <n v="0"/>
    <n v="2300000"/>
    <n v="8000000"/>
    <m/>
  </r>
  <r>
    <s v="FIE-2018-2019-IIP-0036"/>
    <s v="2020-000401"/>
    <x v="22"/>
    <d v="2020-03-09T00:00:00"/>
    <s v=""/>
    <s v="INCENT ESP"/>
    <s v="Contract"/>
    <s v="H0155"/>
    <s v="HORTALIZAS HIDROPONICAS DEL OESTE, INC."/>
    <s v="H0155 - HORTALIZAS HIDROPONICAS DEL OESTE, INC."/>
    <s v="SAN JUAN"/>
    <s v="Alimentos"/>
    <x v="10"/>
    <n v="208867"/>
    <n v="0"/>
    <n v="0"/>
    <n v="208867"/>
    <n v="0"/>
    <s v=""/>
    <s v=""/>
    <m/>
  </r>
  <r>
    <s v="FIE-2016-2017-IEE-0025"/>
    <s v="2016-000583-C"/>
    <x v="9"/>
    <d v="2016-10-31T00:00:00"/>
    <s v=""/>
    <s v="INCENT ESP"/>
    <s v="Contract"/>
    <s v="H8000"/>
    <s v="HOSSANA  CORP."/>
    <s v="H8000 - HOSSANA  CORP."/>
    <s v="NAGUABO"/>
    <s v="Muebles"/>
    <x v="6"/>
    <n v="10302"/>
    <n v="0"/>
    <n v="10302"/>
    <n v="0"/>
    <n v="0"/>
    <s v=""/>
    <s v=""/>
    <m/>
  </r>
  <r>
    <s v="FIE-2016-2017-IEE-0042"/>
    <s v="2017-000355"/>
    <x v="10"/>
    <d v="2017-02-27T00:00:00"/>
    <s v=""/>
    <s v="INCENT ESP"/>
    <s v="Contract"/>
    <s v="H8000"/>
    <s v="HOSSANA  CORP."/>
    <s v="H8000 - HOSSANA  CORP."/>
    <s v="NAGUABO"/>
    <s v="Muebles"/>
    <x v="6"/>
    <n v="8379"/>
    <n v="0"/>
    <n v="8379"/>
    <n v="0"/>
    <n v="0"/>
    <s v=""/>
    <s v=""/>
    <m/>
  </r>
  <r>
    <s v="FIE-2018-2019-IEE-0046"/>
    <s v="2019-000353"/>
    <x v="69"/>
    <d v="2019-03-19T00:00:00"/>
    <s v=""/>
    <s v="INCENT ESP"/>
    <s v="Contract"/>
    <s v="H8000"/>
    <s v="HOSSANA  CORP."/>
    <s v="H8000 - HOSSANA  CORP."/>
    <s v="NAGUABO"/>
    <s v="Muebles"/>
    <x v="6"/>
    <n v="3346"/>
    <n v="0"/>
    <n v="3346"/>
    <n v="0"/>
    <n v="0"/>
    <s v=""/>
    <s v=""/>
    <m/>
  </r>
  <r>
    <s v="FIE-2018-2019-IEE-0065"/>
    <s v="2019-000353-A"/>
    <x v="13"/>
    <d v="2019-04-25T00:00:00"/>
    <s v=""/>
    <s v="INCENT ESP"/>
    <s v="Contract"/>
    <s v="H8000"/>
    <s v="HOSSANA  CORP."/>
    <s v="H8000 - HOSSANA  CORP."/>
    <s v="NAGUABO"/>
    <s v="Muebles"/>
    <x v="6"/>
    <n v="582"/>
    <n v="0"/>
    <n v="582"/>
    <n v="0"/>
    <n v="0"/>
    <s v=""/>
    <s v=""/>
    <m/>
  </r>
  <r>
    <s v="FIE-2018-2019-IEE-0076"/>
    <s v="2019-000353-B"/>
    <x v="91"/>
    <d v="2019-06-19T00:00:00"/>
    <s v=""/>
    <s v="INCENT ESP"/>
    <s v="Contract"/>
    <s v="H8000"/>
    <s v="HOSSANA  CORP."/>
    <s v="H8000 - HOSSANA  CORP."/>
    <s v="NAGUABO"/>
    <s v="Muebles"/>
    <x v="6"/>
    <n v="1688"/>
    <n v="0"/>
    <n v="1688"/>
    <n v="0"/>
    <n v="0"/>
    <s v=""/>
    <s v=""/>
    <m/>
  </r>
  <r>
    <s v="FIE-2019-2020-IEE-0045"/>
    <s v="2019-000353-C"/>
    <x v="46"/>
    <d v="2019-10-31T00:00:00"/>
    <s v=""/>
    <s v="INCENT ESP"/>
    <s v="Contract"/>
    <s v="H8000"/>
    <s v="HOSSANA  CORP."/>
    <s v="H8000 - HOSSANA  CORP."/>
    <s v="NAGUABO"/>
    <s v="Muebles"/>
    <x v="6"/>
    <n v="8076"/>
    <n v="0"/>
    <n v="8076"/>
    <n v="0"/>
    <n v="0"/>
    <s v=""/>
    <s v=""/>
    <m/>
  </r>
  <r>
    <s v="FIE-2017-2018-IEE-0131"/>
    <s v="En Proceso"/>
    <x v="11"/>
    <s v="En Proceso"/>
    <s v=""/>
    <s v="INCENT ESP"/>
    <s v="Assignment"/>
    <s v="H7595"/>
    <s v="HOSSANA CORPORATION"/>
    <s v="H7595 - HOSSANA CORPORATION"/>
    <s v="NAGUABO"/>
    <s v="Manufactura de Ropa Interior, Ropa Deportiva y Accesorios"/>
    <x v="6"/>
    <n v="4526"/>
    <n v="4526"/>
    <n v="0"/>
    <n v="0"/>
    <n v="0"/>
    <s v=""/>
    <s v=""/>
    <m/>
  </r>
  <r>
    <s v="FE-2018-2019-0066"/>
    <s v="2019-000470-A"/>
    <x v="32"/>
    <d v="2019-10-19T00:00:00"/>
    <s v="30/5/2022"/>
    <s v="INCENT FEDE"/>
    <s v="Contract"/>
    <s v="H7595"/>
    <s v="HOSSANA CORPORATION"/>
    <s v="H7595 - HOSSANA CORPORATION"/>
    <s v="NAGUABO"/>
    <s v="Manufactura de Ropa Interior, Ropa Deportiva y Accesorios"/>
    <x v="20"/>
    <n v="210000"/>
    <n v="0"/>
    <n v="153628.37"/>
    <n v="56371.630000000005"/>
    <n v="0"/>
    <n v="15000"/>
    <n v="346574"/>
    <m/>
  </r>
  <r>
    <s v="FE-2018-2019-0057"/>
    <s v="2019-000471"/>
    <x v="32"/>
    <d v="2019-05-31T00:00:00"/>
    <s v="30/11/2022"/>
    <s v="INCENT FEDE"/>
    <s v="Contract"/>
    <s v="H7595"/>
    <s v="HOSSANA CORPORATION"/>
    <s v="H7595 - HOSSANA CORPORATION"/>
    <s v="NAGUABO"/>
    <s v="Manufactura de Ropa Interior, Ropa Deportiva y Accesorios"/>
    <x v="5"/>
    <n v="75000"/>
    <n v="0"/>
    <n v="26666.560000000001"/>
    <n v="48333.440000000002"/>
    <n v="25"/>
    <n v="15000"/>
    <n v="346574"/>
    <m/>
  </r>
  <r>
    <s v="FIE60-2020-2021-0050"/>
    <s v="En Proceso"/>
    <x v="62"/>
    <s v="En Proceso"/>
    <s v=""/>
    <s v="INCENT LEY 60"/>
    <s v="Assignment"/>
    <s v="H8500"/>
    <s v="HOUSE OF HAIRLE, INC."/>
    <s v="H8500 - HOUSE OF HAIRLE, INC."/>
    <s v="AIBONITO"/>
    <s v="Uniformes Militares"/>
    <x v="8"/>
    <n v="70000"/>
    <n v="0"/>
    <n v="0"/>
    <n v="70000"/>
    <n v="20"/>
    <m/>
    <n v="384000"/>
    <n v="2.81"/>
  </r>
  <r>
    <s v="FIE60-2020-2021-0052"/>
    <s v="En Proceso"/>
    <x v="62"/>
    <s v="En Proceso"/>
    <s v=""/>
    <s v="INCENT LEY 60"/>
    <s v="Assignment"/>
    <s v="H8500"/>
    <s v="HOUSE OF HAIRLE, INC."/>
    <s v="H8500 - HOUSE OF HAIRLE, INC."/>
    <s v="AIBONITO"/>
    <s v="Uniformes Militares"/>
    <x v="8"/>
    <n v="49000"/>
    <n v="0"/>
    <n v="0"/>
    <n v="49000"/>
    <n v="14"/>
    <n v="1000"/>
    <n v="268800"/>
    <n v="2.81"/>
  </r>
  <r>
    <s v="FIE60-2020-2021-0051"/>
    <s v="En Proceso"/>
    <x v="62"/>
    <s v="En Proceso"/>
    <s v=""/>
    <s v="INCENT LEY 60"/>
    <s v="Assignment"/>
    <s v="H8500"/>
    <s v="HOUSE OF HAIRLE, INC."/>
    <s v="H8500 - HOUSE OF HAIRLE, INC."/>
    <s v="AIBONITO"/>
    <s v="Uniformes Militares"/>
    <x v="9"/>
    <n v="100000"/>
    <n v="0"/>
    <n v="0"/>
    <n v="100000"/>
    <n v="0"/>
    <n v="180450"/>
    <m/>
    <n v="2.81"/>
  </r>
  <r>
    <s v="FIE-2018-2019-IIP-0013"/>
    <s v="2019-000334"/>
    <x v="2"/>
    <d v="2019-03-08T00:00:00"/>
    <s v=""/>
    <s v="INCENT ESP"/>
    <s v="Contract"/>
    <s v="H0044"/>
    <s v="HOYOS DIEZ, LYLLAM"/>
    <s v="H0044 - HOYOS DIEZ, LYLLAM"/>
    <s v="SAN JUAN"/>
    <s v="Programa Artesanía"/>
    <x v="4"/>
    <n v="966.99"/>
    <n v="22.13"/>
    <n v="944.86"/>
    <n v="0"/>
    <n v="0"/>
    <s v=""/>
    <s v=""/>
    <m/>
  </r>
  <r>
    <s v="FE-2019-2020-0072"/>
    <s v="En Proceso"/>
    <x v="54"/>
    <s v="En Proceso"/>
    <s v=""/>
    <s v="INCENT FEDE"/>
    <s v="Assignment"/>
    <m/>
    <s v="HUBBELL CARIBE  LIMITED"/>
    <s v="HUBBELL CARIBE  LIMITED"/>
    <s v="VEGA BAJA"/>
    <s v="Manufacturing of high quality electrical wiring and connections devices"/>
    <x v="5"/>
    <n v="1288000"/>
    <n v="0"/>
    <n v="0"/>
    <n v="1288000"/>
    <n v="125"/>
    <m/>
    <n v="3490125"/>
    <m/>
  </r>
  <r>
    <s v="FE-2019-2020-0073"/>
    <s v="En Proceso"/>
    <x v="54"/>
    <s v="En Proceso"/>
    <s v=""/>
    <s v="INCENT FEDE"/>
    <s v="Assignment"/>
    <m/>
    <s v="HUBBELL CARIBE  LIMITED"/>
    <s v="HUBBELL CARIBE  LIMITED"/>
    <s v="VEGA BAJA"/>
    <s v="Manufacturing of high quality electrical wiring and connections devices"/>
    <x v="1"/>
    <n v="300000"/>
    <n v="0"/>
    <n v="0"/>
    <n v="300000"/>
    <n v="0"/>
    <m/>
    <m/>
    <m/>
  </r>
  <r>
    <s v="FE-2019-2020-0074"/>
    <s v="En Proceso"/>
    <x v="54"/>
    <s v="En Proceso"/>
    <s v=""/>
    <s v="INCENT FEDE"/>
    <s v="Assignment"/>
    <m/>
    <s v="HUBBELL CARIBE  LIMITED"/>
    <s v="HUBBELL CARIBE  LIMITED"/>
    <s v="VEGA BAJA"/>
    <s v="Manufacturing of high quality electrical wiring and connections devices"/>
    <x v="2"/>
    <n v="1500000"/>
    <n v="0"/>
    <n v="0"/>
    <n v="1500000"/>
    <n v="0"/>
    <n v="6707000"/>
    <m/>
    <m/>
  </r>
  <r>
    <s v="FIE-2018-2019-IIP-0036"/>
    <s v="2021-000098"/>
    <x v="22"/>
    <d v="2020-09-03T00:00:00"/>
    <s v=""/>
    <s v="INCENT ESP"/>
    <s v="Contract"/>
    <s v="H0167"/>
    <s v="HUERTO ISLENO, INC."/>
    <s v="H0167 - HUERTO ISLENO, INC."/>
    <s v="SAN JUAN"/>
    <s v="Alimentos"/>
    <x v="10"/>
    <n v="209199"/>
    <n v="0"/>
    <n v="0"/>
    <n v="209199"/>
    <n v="0"/>
    <n v="297083"/>
    <n v="38880"/>
    <m/>
  </r>
  <r>
    <s v="FIE-2018-2019-IIP-0030"/>
    <s v="2019-000307-A"/>
    <x v="20"/>
    <d v="2019-02-27T00:00:00"/>
    <s v=""/>
    <s v="INCENT ESP"/>
    <s v="Contract"/>
    <s v="I0161"/>
    <s v="IBS CARIBE, INC."/>
    <s v="I0161 - IBS CARIBE, INC."/>
    <s v="CAMUY"/>
    <s v="Manufactura"/>
    <x v="7"/>
    <n v="80000"/>
    <n v="0"/>
    <n v="77034.429999999993"/>
    <n v="2965.570000000007"/>
    <n v="0"/>
    <s v=""/>
    <s v=""/>
    <m/>
  </r>
  <r>
    <s v="FIE-2019-2020-IIP-0003"/>
    <s v="En Proceso"/>
    <x v="138"/>
    <s v="En Proceso"/>
    <s v=""/>
    <s v="INCENT ESP"/>
    <s v="Assignment"/>
    <m/>
    <s v="ICB MANUFACTURING CO."/>
    <s v="ICB MANUFACTURING CO."/>
    <s v="CAROLINA"/>
    <s v="Manufactura de bandas, pads de discos para frenos y productos relacionados"/>
    <x v="5"/>
    <n v="15000"/>
    <n v="0"/>
    <n v="0"/>
    <n v="15000"/>
    <n v="30"/>
    <m/>
    <n v="1075200"/>
    <m/>
  </r>
  <r>
    <s v="FIE-2019-2020-IIP-0004"/>
    <s v="En Proceso"/>
    <x v="138"/>
    <s v="En Proceso"/>
    <s v=""/>
    <s v="INCENT ESP"/>
    <s v="Assignment"/>
    <m/>
    <s v="ICB MANUFACTURING CO."/>
    <s v="ICB MANUFACTURING CO."/>
    <s v="CAROLINA"/>
    <s v="Manufactura de bandas, pads de discos para frenos y productos relacionados"/>
    <x v="2"/>
    <n v="50000"/>
    <n v="0"/>
    <n v="0"/>
    <n v="50000"/>
    <n v="0"/>
    <n v="60000"/>
    <m/>
    <m/>
  </r>
  <r>
    <s v="FIE60-2020-2021-0006"/>
    <s v="En Proceso"/>
    <x v="25"/>
    <s v="En Proceso"/>
    <s v=""/>
    <s v="INCENT LEY 60"/>
    <s v="Assignment"/>
    <m/>
    <s v="IFCO RECYCLING, INC."/>
    <s v="IFCO RECYCLING, INC."/>
    <s v="CAGUAS"/>
    <s v="RECYCLE OF PAPER PLASTIC AND ALUMINUM                                           "/>
    <x v="8"/>
    <n v="430000"/>
    <n v="0"/>
    <n v="0"/>
    <n v="430000"/>
    <n v="73"/>
    <m/>
    <n v="2005418"/>
    <n v="0.93"/>
  </r>
  <r>
    <s v="FIE60-2020-2021-0044"/>
    <s v="En Proceso"/>
    <x v="25"/>
    <s v="En Proceso"/>
    <s v=""/>
    <s v="INCENT LEY 60"/>
    <s v="Assignment"/>
    <m/>
    <s v="IFCO RECYCLING, INC."/>
    <s v="IFCO RECYCLING, INC."/>
    <s v="CAGUAS"/>
    <s v="RECYCLE OF PAPER PLASTIC AND ALUMINUM                                           "/>
    <x v="9"/>
    <n v="380000"/>
    <n v="0"/>
    <n v="0"/>
    <n v="380000"/>
    <n v="0"/>
    <n v="6700000"/>
    <m/>
    <n v="0.93"/>
  </r>
  <r>
    <s v="FIE-2017-2018-IIP-0048"/>
    <s v="2018-000186"/>
    <x v="61"/>
    <d v="2017-12-18T00:00:00"/>
    <s v=""/>
    <s v="INCENT ESP"/>
    <s v="Contract"/>
    <s v="I0008"/>
    <s v="IGPR, INC."/>
    <s v="I0008 - IGPR, INC."/>
    <s v="YABUCOA"/>
    <s v="Incentivo de Emergencias Huracanes - Generadores"/>
    <x v="3"/>
    <n v="25000"/>
    <n v="0"/>
    <n v="25000"/>
    <n v="0"/>
    <n v="0"/>
    <s v=""/>
    <s v=""/>
    <m/>
  </r>
  <r>
    <s v="FIE-2019-2020-IIP-0113"/>
    <s v="2020-000447"/>
    <x v="87"/>
    <d v="2020-06-19T00:00:00"/>
    <s v=""/>
    <s v="INCENT ESP"/>
    <s v="Contract"/>
    <s v="I0008"/>
    <s v="IGPR, INC."/>
    <s v="I0008 - IGPR, INC."/>
    <s v="YABUCOA"/>
    <s v="Manufactura"/>
    <x v="5"/>
    <n v="4585"/>
    <n v="0"/>
    <n v="0"/>
    <n v="4585"/>
    <n v="5"/>
    <m/>
    <n v="75400"/>
    <m/>
  </r>
  <r>
    <s v="FIE-2019-2020-IIP-0114"/>
    <s v="2020-000448"/>
    <x v="87"/>
    <d v="2020-06-19T00:00:00"/>
    <s v=""/>
    <s v="INCENT ESP"/>
    <s v="Contract"/>
    <s v="I0008"/>
    <s v="IGPR, INC."/>
    <s v="I0008 - IGPR, INC."/>
    <s v="YABUCOA"/>
    <s v="Manufactura"/>
    <x v="1"/>
    <n v="24995"/>
    <n v="0"/>
    <n v="0"/>
    <n v="24995"/>
    <n v="0"/>
    <m/>
    <m/>
    <m/>
  </r>
  <r>
    <s v="FIE-2019-2020-IIP-0115"/>
    <s v="2020-000449"/>
    <x v="87"/>
    <d v="2020-06-19T00:00:00"/>
    <s v=""/>
    <s v="INCENT ESP"/>
    <s v="Contract"/>
    <s v="I0008"/>
    <s v="IGPR, INC."/>
    <s v="I0008 - IGPR, INC."/>
    <s v="YABUCOA"/>
    <s v="Manufactura"/>
    <x v="2"/>
    <n v="139500"/>
    <n v="0"/>
    <n v="0"/>
    <n v="139500"/>
    <n v="0"/>
    <n v="255000"/>
    <m/>
    <m/>
  </r>
  <r>
    <s v="FE-2016-2017-0002"/>
    <s v="2017-000260"/>
    <x v="0"/>
    <d v="2016-12-14T00:00:00"/>
    <s v=""/>
    <s v="INCENT FEDE"/>
    <s v="Contract"/>
    <s v="I0100"/>
    <s v="INDUNIV"/>
    <s v="I0100 - INDUNIV"/>
    <s v="SAN JUAN"/>
    <s v="Auspicio de participación en Convención Internacional de BIO "/>
    <x v="14"/>
    <n v="150000"/>
    <n v="0"/>
    <n v="150000"/>
    <n v="0"/>
    <n v="0"/>
    <s v=""/>
    <s v=""/>
    <m/>
  </r>
  <r>
    <s v="FE-2018-2019-0092"/>
    <s v="2019-000484"/>
    <x v="139"/>
    <d v="2019-06-03T00:00:00"/>
    <d v="2019-06-06T00:00:00"/>
    <s v="INCENT FEDE"/>
    <s v="Contract"/>
    <s v="I0100"/>
    <s v="INDUNIV"/>
    <s v="I0100 - INDUNIV"/>
    <s v="SAN JUAN"/>
    <s v="Auspicio de participación en Convención Internacional de BIO "/>
    <x v="14"/>
    <n v="20000"/>
    <n v="0"/>
    <n v="20000"/>
    <n v="0"/>
    <n v="0"/>
    <s v=""/>
    <s v=""/>
    <m/>
  </r>
  <r>
    <s v="FIE-2017-2018-IIP-0014"/>
    <s v="2018-000134"/>
    <x v="105"/>
    <d v="2017-11-15T00:00:00"/>
    <s v=""/>
    <s v="INCENT ESP"/>
    <s v="Contract"/>
    <s v="I2099"/>
    <s v="INDUSTRIAL ROOFING, INC."/>
    <s v="I2099 - INDUSTRIAL ROOFING, INC."/>
    <s v="SAN JUAN"/>
    <s v="Incentivo de Emergencias Huracanes - Generadores"/>
    <x v="3"/>
    <n v="25000"/>
    <n v="0"/>
    <n v="25000"/>
    <n v="0"/>
    <n v="0"/>
    <s v=""/>
    <s v=""/>
    <m/>
  </r>
  <r>
    <s v="FIE-2018-2019-IIP-0084"/>
    <s v="2020-000165"/>
    <x v="131"/>
    <d v="2019-10-07T00:00:00"/>
    <s v=""/>
    <s v="INCENT ESP"/>
    <s v="Contract"/>
    <s v="I0158"/>
    <s v="INDUSTRIAL STEEL MANUFACTURING LLC"/>
    <s v="I0158 - INDUSTRIAL STEEL MANUFACTURING LLC"/>
    <s v="GURABO"/>
    <s v="Manufactura"/>
    <x v="5"/>
    <n v="15000"/>
    <n v="0"/>
    <n v="0"/>
    <n v="15000"/>
    <n v="15"/>
    <s v=""/>
    <s v=""/>
    <m/>
  </r>
  <r>
    <s v="FIE-2018-2019-IIP-0085"/>
    <s v="2020-000164"/>
    <x v="131"/>
    <d v="2019-10-07T00:00:00"/>
    <s v=""/>
    <s v="INCENT ESP"/>
    <s v="Contract"/>
    <s v="I0158"/>
    <s v="INDUSTRIAL STEEL MANUFACTURING LLC"/>
    <s v="I0158 - INDUSTRIAL STEEL MANUFACTURING LLC"/>
    <s v="GURABO"/>
    <s v="Manufactura"/>
    <x v="2"/>
    <n v="50000"/>
    <n v="0"/>
    <n v="0"/>
    <n v="50000"/>
    <n v="15"/>
    <s v=""/>
    <s v=""/>
    <m/>
  </r>
  <r>
    <s v="FIE-2018-2019-IIP-0030"/>
    <s v="2020-000092"/>
    <x v="20"/>
    <d v="2019-08-14T00:00:00"/>
    <s v=""/>
    <s v="INCENT ESP"/>
    <s v="Contract"/>
    <s v="I0172"/>
    <s v="INNOVACREATE LLC"/>
    <s v="I0172 - INNOVACREATE LLC"/>
    <s v="SAN JUAN"/>
    <s v="Tecnología"/>
    <x v="7"/>
    <n v="50000"/>
    <n v="0"/>
    <n v="25000"/>
    <n v="25000"/>
    <n v="0"/>
    <s v=""/>
    <s v=""/>
    <m/>
  </r>
  <r>
    <s v="FE-2018-2019-0065"/>
    <s v="2019-000286"/>
    <x v="32"/>
    <d v="2019-02-21T00:00:00"/>
    <s v="20/2/2020"/>
    <s v="INCENT FEDE"/>
    <s v="Contract"/>
    <s v="I0162"/>
    <s v="INPRENDE, LLC"/>
    <s v="I0162 - INPRENDE, LLC"/>
    <s v="SAN JUAN"/>
    <s v="Programa Entrepreneur Challenge "/>
    <x v="14"/>
    <n v="100000"/>
    <m/>
    <n v="100000"/>
    <n v="0"/>
    <n v="0"/>
    <s v=""/>
    <s v=""/>
    <m/>
  </r>
  <r>
    <s v="FE-2019-2020-0080"/>
    <s v="2020-000340"/>
    <x v="49"/>
    <d v="2020-02-11T00:00:00"/>
    <s v="30/6/2020"/>
    <s v="INCENT FEDE"/>
    <s v="Contract"/>
    <s v="I0162"/>
    <s v="INPRENDE, LLC"/>
    <s v="I0162 - INPRENDE, LLC"/>
    <s v="SAN JUAN"/>
    <s v="Auspicio Entrepreneur Challenge Generación 2 "/>
    <x v="14"/>
    <n v="110000"/>
    <m/>
    <n v="50000"/>
    <n v="60000"/>
    <n v="0"/>
    <s v=""/>
    <s v=""/>
    <m/>
  </r>
  <r>
    <s v="FIE-2018-2019-IIP-0053"/>
    <s v="En Proceso"/>
    <x v="140"/>
    <s v="En Proceso"/>
    <s v=""/>
    <s v="INCENT ESP"/>
    <s v="Assignment"/>
    <s v="I0168"/>
    <s v="INSIGHT MANAGING SOLUTIONS CORP."/>
    <s v="I0168 - INSIGHT MANAGING SOLUTIONS CORP."/>
    <s v="SAN JUAN"/>
    <s v="Servicios de manejo de procesos de negocio, manejo de relaciones con clientes"/>
    <x v="5"/>
    <n v="202500"/>
    <n v="0"/>
    <n v="0"/>
    <n v="202500"/>
    <n v="135"/>
    <m/>
    <n v="2626962"/>
    <m/>
  </r>
  <r>
    <s v="FIE-2018-2019-IIP-0054"/>
    <s v="2019-000495"/>
    <x v="140"/>
    <d v="2019-06-28T00:00:00"/>
    <s v=""/>
    <s v="INCENT ESP"/>
    <s v="Contract"/>
    <s v="I0168"/>
    <s v="INSIGHT MANAGING SOLUTIONS CORP."/>
    <s v="I0168 - INSIGHT MANAGING SOLUTIONS CORP."/>
    <s v="SAN JUAN"/>
    <s v="Servicios de manejo de procesos de negocio, manejo de relaciones con clientes"/>
    <x v="2"/>
    <n v="40000"/>
    <n v="0"/>
    <n v="0"/>
    <n v="40000"/>
    <n v="0"/>
    <n v="100000"/>
    <m/>
    <m/>
  </r>
  <r>
    <s v="FE-2018-2019-0009"/>
    <s v="2019-000185-A"/>
    <x v="2"/>
    <d v="2019-06-28T00:00:00"/>
    <s v="31/12/2019"/>
    <s v="INCENT FEDE"/>
    <s v="Contract"/>
    <s v="I0169"/>
    <s v="INTEGRA DESIGN GROUP, "/>
    <s v="I0169 - INTEGRA DESIGN GROUP, "/>
    <s v="SAN JUAN"/>
    <s v="PROTECH"/>
    <x v="16"/>
    <n v="95000"/>
    <m/>
    <n v="80750"/>
    <n v="14250"/>
    <n v="0"/>
    <s v=""/>
    <s v=""/>
    <m/>
  </r>
  <r>
    <s v="FIE-2016-2017-IIP-0036"/>
    <s v="2017-000478"/>
    <x v="0"/>
    <d v="2017-06-28T00:00:00"/>
    <s v=""/>
    <s v="INCENT ESP"/>
    <s v="Contract"/>
    <s v="I0070"/>
    <s v="INTERNET VISION DEVELOPMENT CORP."/>
    <s v="I0070 - INTERNET VISION DEVELOPMENT CORP."/>
    <s v="SAN JUAN"/>
    <s v="Desarrollo de Software "/>
    <x v="0"/>
    <n v="50000"/>
    <n v="10400.16"/>
    <n v="39599.839999999997"/>
    <n v="0"/>
    <n v="0"/>
    <s v=""/>
    <s v=""/>
    <m/>
  </r>
  <r>
    <s v="FIE-2018-2019-IIP-0016"/>
    <s v="2019-000451"/>
    <x v="2"/>
    <d v="2019-05-21T00:00:00"/>
    <s v=""/>
    <s v="INCENT ESP"/>
    <s v="Contract"/>
    <s v="I0070"/>
    <s v="INTERNET VISION DEVELOPMENT CORP."/>
    <s v="I0070 - INTERNET VISION DEVELOPMENT CORP."/>
    <s v="SAN JUAN"/>
    <s v="Desarrollo de Software "/>
    <x v="0"/>
    <n v="50000"/>
    <n v="0"/>
    <n v="11630.75"/>
    <n v="38369.25"/>
    <n v="0"/>
    <s v=""/>
    <s v=""/>
    <m/>
  </r>
  <r>
    <s v="FIE-2018-2019-IIP-0035"/>
    <s v="2019-000288"/>
    <x v="32"/>
    <d v="2019-02-22T00:00:00"/>
    <s v=""/>
    <s v="INCENT ESP"/>
    <s v="Contract"/>
    <s v="I0070"/>
    <s v="INTERNET VISION DEVELOPMENT CORP."/>
    <s v="I0070 - INTERNET VISION DEVELOPMENT CORP."/>
    <s v="SAN JUAN"/>
    <s v="Desarrollo de Software "/>
    <x v="5"/>
    <n v="107500"/>
    <n v="0"/>
    <n v="0"/>
    <n v="107500"/>
    <n v="43"/>
    <n v="201000"/>
    <n v="2847000"/>
    <m/>
  </r>
  <r>
    <s v="FIE-2017-2018-IIP-0007"/>
    <s v="2019-000011"/>
    <x v="24"/>
    <d v="2018-07-12T00:00:00"/>
    <s v=""/>
    <s v="INCENT ESP"/>
    <s v="Contract"/>
    <s v="I0152"/>
    <s v="INTERTRADE DEVELOPMENT GROUP, INC."/>
    <s v="I0152 - INTERTRADE DEVELOPMENT GROUP, INC."/>
    <s v="SAN JUAN"/>
    <s v="Programa Artesanía"/>
    <x v="4"/>
    <n v="27263.4"/>
    <n v="0"/>
    <n v="27263.4"/>
    <n v="0"/>
    <n v="0"/>
    <s v=""/>
    <s v=""/>
    <m/>
  </r>
  <r>
    <s v="FIE-2018-2019-IIP-0030"/>
    <s v="2020-000306"/>
    <x v="20"/>
    <d v="2020-01-23T00:00:00"/>
    <s v=""/>
    <s v="INCENT ESP"/>
    <s v="Contract"/>
    <s v="I0179"/>
    <s v="INTEX SOFTWARE, LLC"/>
    <s v="I0179 - INTEX SOFTWARE, LLC"/>
    <s v="SAN JUAN"/>
    <s v="Tecnología"/>
    <x v="7"/>
    <n v="20000"/>
    <n v="0"/>
    <n v="0"/>
    <n v="20000"/>
    <n v="0"/>
    <s v=""/>
    <s v=""/>
    <m/>
  </r>
  <r>
    <s v="FE-2018-2019-0013"/>
    <s v="2019-000079"/>
    <x v="118"/>
    <d v="2018-08-21T00:00:00"/>
    <s v="30/6/2019"/>
    <s v="INCENT FEDE"/>
    <s v="Contract"/>
    <s v="I0149"/>
    <s v="INVEST PUERTO RICO, INC. "/>
    <s v="I0149 - INVEST PUERTO RICO, INC. "/>
    <s v="SAN JUAN"/>
    <s v="Promoción de PR en el Exterior Ley 13-2017"/>
    <x v="14"/>
    <n v="2000000"/>
    <n v="0"/>
    <n v="2000000"/>
    <n v="0"/>
    <n v="0"/>
    <s v=""/>
    <s v=""/>
    <m/>
  </r>
  <r>
    <s v="FIE60-2019-2020-0001"/>
    <s v="2020-001077"/>
    <x v="141"/>
    <d v="2020-03-30T00:00:00"/>
    <s v=""/>
    <s v="INCENT LEY 60"/>
    <s v="Contract"/>
    <s v="I0149"/>
    <s v="INVEST PUERTO RICO, INC. "/>
    <s v="I0149 - INVEST PUERTO RICO, INC. "/>
    <s v="SAN JUAN"/>
    <s v="Promoción de PR en el Exterior Ley 13-2017"/>
    <x v="14"/>
    <n v="50000000"/>
    <n v="2500000"/>
    <n v="6000000"/>
    <n v="41500000"/>
    <n v="0"/>
    <s v=""/>
    <s v=""/>
    <s v=""/>
  </r>
  <r>
    <s v="FE-2018-2019-0087"/>
    <s v="2020-000200"/>
    <x v="142"/>
    <d v="2019-10-30T00:00:00"/>
    <s v="29/10/2024"/>
    <s v="INCENT FEDE"/>
    <s v="Contract"/>
    <s v="I0173"/>
    <s v="IQ PHARMA PR LLC "/>
    <s v="I0173 - IQ PHARMA PR LLC "/>
    <s v="SAN JUAN"/>
    <s v="Tecnología"/>
    <x v="5"/>
    <n v="45000"/>
    <n v="0"/>
    <n v="0"/>
    <n v="45000"/>
    <n v="15"/>
    <s v=""/>
    <s v=""/>
    <m/>
  </r>
  <r>
    <s v="FE-2018-2019-0089"/>
    <s v="2020-000199-A"/>
    <x v="142"/>
    <d v="2020-02-13T00:00:00"/>
    <s v="29/10/2024"/>
    <s v="INCENT FEDE"/>
    <s v="Contract"/>
    <s v="I0173"/>
    <s v="IQ PHARMA PR LLC "/>
    <s v="I0173 - IQ PHARMA PR LLC "/>
    <s v="SAN JUAN"/>
    <s v="armaprentos"/>
    <x v="1"/>
    <n v="700000"/>
    <n v="0"/>
    <n v="0"/>
    <n v="700000"/>
    <n v="0"/>
    <s v=""/>
    <s v=""/>
    <m/>
  </r>
  <r>
    <s v="FE-2018-2019-0088"/>
    <s v="2020-000198-A"/>
    <x v="142"/>
    <d v="2020-02-13T00:00:00"/>
    <s v="29/10/2024"/>
    <s v="INCENT FEDE"/>
    <s v="Contract"/>
    <s v="I0173"/>
    <s v="IQ PHARMA PR LLC "/>
    <s v="I0173 - IQ PHARMA PR LLC "/>
    <s v="SAN JUAN"/>
    <s v="Tecnología"/>
    <x v="2"/>
    <n v="2000000"/>
    <n v="0"/>
    <n v="0"/>
    <n v="2000000"/>
    <n v="0"/>
    <s v=""/>
    <s v=""/>
    <m/>
  </r>
  <r>
    <s v="FIE-2016-2017-IIP-0004"/>
    <s v="2017-000176"/>
    <x v="6"/>
    <d v="2016-09-19T00:00:00"/>
    <s v=""/>
    <s v="INCENT ESP"/>
    <s v="Contract"/>
    <s v="I0053"/>
    <s v="IRIZARRY VALENTIN, ZAMARY"/>
    <s v="I0053 - IRIZARRY VALENTIN, ZAMARY"/>
    <s v="SAN JUAN"/>
    <s v="Programa Artesanía"/>
    <x v="4"/>
    <n v="750"/>
    <n v="308"/>
    <n v="442"/>
    <n v="0"/>
    <n v="0"/>
    <s v=""/>
    <s v=""/>
    <m/>
  </r>
  <r>
    <s v="FIE-2016-2017-IIP-0004"/>
    <s v="2017-000361"/>
    <x v="6"/>
    <d v="2017-02-22T00:00:00"/>
    <s v=""/>
    <s v="INCENT ESP"/>
    <s v="Contract"/>
    <s v="I0053"/>
    <s v="IRIZARRY VALENTIN, ZAMARY"/>
    <s v="I0053 - IRIZARRY VALENTIN, ZAMARY"/>
    <s v="SAN JUAN"/>
    <s v="Programa Artesanía"/>
    <x v="4"/>
    <n v="1080"/>
    <n v="0"/>
    <n v="1080"/>
    <n v="0"/>
    <n v="0"/>
    <s v=""/>
    <s v=""/>
    <m/>
  </r>
  <r>
    <s v="FIE-2017-2018-IIP-0007"/>
    <s v="2018-000399"/>
    <x v="24"/>
    <d v="2018-06-25T00:00:00"/>
    <s v=""/>
    <s v="INCENT ESP"/>
    <s v="Contract"/>
    <s v="I0053"/>
    <s v="IRIZARRY VALENTIN, ZAMARY"/>
    <s v="I0053 - IRIZARRY VALENTIN, ZAMARY"/>
    <s v="SAN JUAN"/>
    <s v="Programa Artesanía"/>
    <x v="4"/>
    <n v="980"/>
    <n v="0"/>
    <n v="980"/>
    <n v="0"/>
    <n v="0"/>
    <s v=""/>
    <s v=""/>
    <m/>
  </r>
  <r>
    <s v="FIE-2018-2019-IIP-0012"/>
    <s v="2019-000192"/>
    <x v="2"/>
    <d v="2018-11-13T00:00:00"/>
    <s v=""/>
    <s v="INCENT ESP"/>
    <s v="Contract"/>
    <s v="I0155"/>
    <s v="ITA'S CATERING, INC."/>
    <s v="I0155 - ITA'S CATERING, INC."/>
    <s v="SAN JUAN"/>
    <s v="Programa Artesanía"/>
    <x v="4"/>
    <n v="1040"/>
    <n v="0"/>
    <n v="1040"/>
    <n v="0"/>
    <n v="0"/>
    <s v=""/>
    <s v=""/>
    <m/>
  </r>
  <r>
    <s v="FIE-2016-2017-IIP-0005"/>
    <s v="2017-000437"/>
    <x v="6"/>
    <d v="2017-05-17T00:00:00"/>
    <s v=""/>
    <s v="INCENT ESP"/>
    <s v="Contract"/>
    <s v="I0038"/>
    <s v="IVAN DAVILA PEREZ"/>
    <s v="I0038 - IVAN DAVILA PEREZ"/>
    <s v="SAN JUAN"/>
    <s v="Programa Artesanía"/>
    <x v="4"/>
    <n v="1000"/>
    <n v="0"/>
    <n v="1000"/>
    <n v="0"/>
    <n v="0"/>
    <s v=""/>
    <s v=""/>
    <m/>
  </r>
  <r>
    <s v="FIE-2019-2020-IIP-0075"/>
    <s v="2020-000440"/>
    <x v="100"/>
    <d v="2020-06-09T00:00:00"/>
    <s v=""/>
    <s v="INCENT ESP"/>
    <s v="Contract"/>
    <s v="J0210"/>
    <s v="J &amp; G MANAGEMENT CORPORATION"/>
    <s v="J0210 - J &amp; G MANAGEMENT CORPORATION"/>
    <s v="CAROLINA"/>
    <s v="Manufactura de masas de pizza refrigerada y congelada y variedades de panes"/>
    <x v="5"/>
    <n v="5000"/>
    <n v="0"/>
    <n v="0"/>
    <n v="5000"/>
    <n v="10"/>
    <n v="1948730"/>
    <n v="166400"/>
    <m/>
  </r>
  <r>
    <s v="FIE-2019-2020-IIP-0023"/>
    <s v="2020-000240"/>
    <x v="7"/>
    <d v="2019-11-22T00:00:00"/>
    <s v=""/>
    <s v="INCENT ESP"/>
    <s v="Contract"/>
    <s v="J1925"/>
    <s v="JACQUELINE TEJADA ALMONTE"/>
    <s v="J1925 - JACQUELINE TEJADA ALMONTE"/>
    <s v="SAN JUAN"/>
    <s v="Programa Artesanía"/>
    <x v="4"/>
    <n v="2000"/>
    <n v="0"/>
    <n v="2000"/>
    <n v="0"/>
    <n v="0"/>
    <s v=""/>
    <s v=""/>
    <m/>
  </r>
  <r>
    <s v="FIE-2016-2017-IIP-0006"/>
    <s v="2017-000403"/>
    <x v="6"/>
    <d v="2017-04-10T00:00:00"/>
    <s v=""/>
    <s v="INCENT ESP"/>
    <s v="Contract"/>
    <s v="J1968"/>
    <s v="JAIME CRUZ LEON"/>
    <s v="J1968 - JAIME CRUZ LEON"/>
    <s v="SAN JUAN"/>
    <s v="Programa Artesanía"/>
    <x v="4"/>
    <n v="8000"/>
    <n v="0"/>
    <n v="8000"/>
    <n v="0"/>
    <n v="0"/>
    <s v=""/>
    <s v=""/>
    <m/>
  </r>
  <r>
    <s v="FIE-2018-2019-IIP-0015"/>
    <s v="2019-000492"/>
    <x v="2"/>
    <d v="2019-06-24T00:00:00"/>
    <s v=""/>
    <s v="INCENT ESP"/>
    <s v="Contract"/>
    <s v="J1968"/>
    <s v="JAIME CRUZ LEON"/>
    <s v="J1968 - JAIME CRUZ LEON"/>
    <s v="SAN JUAN"/>
    <s v="Programa Artesanía"/>
    <x v="4"/>
    <n v="3400"/>
    <n v="0"/>
    <n v="3400"/>
    <n v="0"/>
    <n v="0"/>
    <s v=""/>
    <s v=""/>
    <m/>
  </r>
  <r>
    <s v="FIE-2019-2020-IIP-0091"/>
    <s v="2020-000438"/>
    <x v="126"/>
    <d v="2020-06-08T00:00:00"/>
    <s v=""/>
    <s v="INCENT ESP"/>
    <s v="Contract"/>
    <s v="J0267"/>
    <s v="JAM PRINTING, LLC"/>
    <s v="J0267 - JAM PRINTING, LLC"/>
    <s v="BAYAMON"/>
    <s v="Manufactura"/>
    <x v="5"/>
    <n v="5000"/>
    <n v="0"/>
    <n v="0"/>
    <n v="5000"/>
    <n v="10"/>
    <m/>
    <n v="153600"/>
    <m/>
  </r>
  <r>
    <s v="FIE-2019-2020-IIP-0092"/>
    <s v="2020-000439"/>
    <x v="126"/>
    <d v="2020-06-08T00:00:00"/>
    <s v=""/>
    <s v="INCENT ESP"/>
    <s v="Contract"/>
    <s v="J0267"/>
    <s v="JAM PRINTING, LLC"/>
    <s v="J0267 - JAM PRINTING, LLC"/>
    <s v="BAYAMON"/>
    <s v="Manufactura"/>
    <x v="2"/>
    <n v="50000"/>
    <n v="0"/>
    <n v="0"/>
    <n v="50000"/>
    <n v="0"/>
    <n v="250000"/>
    <m/>
    <m/>
  </r>
  <r>
    <s v="FIE-2016-2017-IIP-0004"/>
    <s v="2017-000460"/>
    <x v="6"/>
    <d v="2017-06-15T00:00:00"/>
    <s v=""/>
    <s v="INCENT ESP"/>
    <s v="Contract"/>
    <s v="J0073"/>
    <s v="JAMALU RENTAL, INC"/>
    <s v="J0073 - JAMALU RENTAL, INC"/>
    <s v="TOA BAJA"/>
    <s v="Programa Artesanía"/>
    <x v="4"/>
    <n v="575"/>
    <n v="0"/>
    <n v="575"/>
    <n v="0"/>
    <n v="0"/>
    <s v=""/>
    <s v=""/>
    <m/>
  </r>
  <r>
    <s v="FIE-2017-2018-IIP-0004"/>
    <s v="2018-000332"/>
    <x v="24"/>
    <d v="2018-03-20T00:00:00"/>
    <s v=""/>
    <s v="INCENT ESP"/>
    <s v="Contract"/>
    <s v="J0073"/>
    <s v="JAMALU RENTAL, INC"/>
    <s v="J0073 - JAMALU RENTAL, INC"/>
    <s v="TOA BAJA"/>
    <s v="Programa Artesanía"/>
    <x v="4"/>
    <n v="2430"/>
    <n v="0"/>
    <n v="2430"/>
    <n v="0"/>
    <n v="0"/>
    <s v=""/>
    <s v=""/>
    <m/>
  </r>
  <r>
    <s v="FIE-2018-2019-IIP-0012"/>
    <s v="2019-000082"/>
    <x v="2"/>
    <d v="2018-08-21T00:00:00"/>
    <s v=""/>
    <s v="INCENT ESP"/>
    <s v="Contract"/>
    <s v="J0073"/>
    <s v="JAMALU RENTAL, INC"/>
    <s v="J0073 - JAMALU RENTAL, INC"/>
    <s v="TOA BAJA"/>
    <s v="Programa Artesanía"/>
    <x v="4"/>
    <n v="500"/>
    <n v="0"/>
    <n v="500"/>
    <n v="0"/>
    <n v="0"/>
    <s v=""/>
    <s v=""/>
    <m/>
  </r>
  <r>
    <s v="FIE-2018-2019-IIP-0012"/>
    <s v="2019-000134"/>
    <x v="2"/>
    <d v="2018-09-18T00:00:00"/>
    <s v=""/>
    <s v="INCENT ESP"/>
    <s v="Contract"/>
    <s v="J0073"/>
    <s v="JAMALU RENTAL, INC"/>
    <s v="J0073 - JAMALU RENTAL, INC"/>
    <s v="TOA BAJA"/>
    <s v="Programa Artesanía"/>
    <x v="4"/>
    <n v="2400"/>
    <n v="0"/>
    <n v="2400"/>
    <n v="0"/>
    <n v="0"/>
    <s v=""/>
    <s v=""/>
    <m/>
  </r>
  <r>
    <s v="FIE-2018-2019-IIP-0012"/>
    <s v="2019-000258"/>
    <x v="2"/>
    <d v="2019-01-22T00:00:00"/>
    <s v=""/>
    <s v="INCENT ESP"/>
    <s v="Contract"/>
    <s v="J0073"/>
    <s v="JAMALU RENTAL, INC"/>
    <s v="J0073 - JAMALU RENTAL, INC"/>
    <s v="TOA BAJA"/>
    <s v="Programa Artesanía"/>
    <x v="4"/>
    <n v="4200"/>
    <n v="0"/>
    <n v="4200"/>
    <n v="0"/>
    <n v="0"/>
    <s v=""/>
    <s v=""/>
    <m/>
  </r>
  <r>
    <s v="FIE-2018-2019-IIP-0012"/>
    <s v="2019-000325"/>
    <x v="2"/>
    <d v="2019-03-04T00:00:00"/>
    <s v=""/>
    <s v="INCENT ESP"/>
    <s v="Contract"/>
    <s v="J0073"/>
    <s v="JAMALU RENTAL, INC"/>
    <s v="J0073 - JAMALU RENTAL, INC"/>
    <s v="TOA BAJA"/>
    <s v="Programa Artesanía"/>
    <x v="4"/>
    <n v="2400"/>
    <n v="0"/>
    <n v="2400"/>
    <n v="0"/>
    <n v="0"/>
    <s v=""/>
    <s v=""/>
    <m/>
  </r>
  <r>
    <s v="FIE-2018-2019-IIP-0012"/>
    <s v="2019-000468"/>
    <x v="2"/>
    <d v="2019-05-31T00:00:00"/>
    <s v=""/>
    <s v="INCENT ESP"/>
    <s v="Contract"/>
    <s v="J0073"/>
    <s v="JAMALU RENTAL, INC"/>
    <s v="J0073 - JAMALU RENTAL, INC"/>
    <s v="TOA BAJA"/>
    <s v="Programa Artesanía"/>
    <x v="4"/>
    <n v="925"/>
    <n v="0"/>
    <n v="925"/>
    <n v="0"/>
    <n v="0"/>
    <s v=""/>
    <s v=""/>
    <m/>
  </r>
  <r>
    <s v="FIE-2018-2019-IIP-0012"/>
    <s v="2019-000469"/>
    <x v="2"/>
    <d v="2019-05-22T00:00:00"/>
    <s v=""/>
    <s v="INCENT ESP"/>
    <s v="Contract"/>
    <s v="J0073"/>
    <s v="JAMALU RENTAL, INC"/>
    <s v="J0073 - JAMALU RENTAL, INC"/>
    <s v="TOA BAJA"/>
    <s v="Programa Artesanía"/>
    <x v="4"/>
    <n v="300"/>
    <n v="0"/>
    <n v="300"/>
    <n v="0"/>
    <n v="0"/>
    <s v=""/>
    <s v=""/>
    <m/>
  </r>
  <r>
    <s v="FIE-2019-2020-IIP-0021"/>
    <s v="2020-000184"/>
    <x v="7"/>
    <d v="2019-10-21T00:00:00"/>
    <s v=""/>
    <s v="INCENT ESP"/>
    <s v="Contract"/>
    <s v="J0073"/>
    <s v="JAMALU RENTAL, INC"/>
    <s v="J0073 - JAMALU RENTAL, INC"/>
    <s v="TOA BAJA"/>
    <s v="Programa Artesanía"/>
    <x v="4"/>
    <n v="1180"/>
    <n v="0"/>
    <n v="1180"/>
    <n v="0"/>
    <n v="0"/>
    <s v=""/>
    <s v=""/>
    <m/>
  </r>
  <r>
    <s v="FIE-2019-2020-IIP-0021"/>
    <s v="2020-000223"/>
    <x v="7"/>
    <d v="2019-11-13T00:00:00"/>
    <s v=""/>
    <s v="INCENT ESP"/>
    <s v="Contract"/>
    <s v="J0073"/>
    <s v="JAMALU RENTAL, INC"/>
    <s v="J0073 - JAMALU RENTAL, INC"/>
    <s v="TOA BAJA"/>
    <s v="Programa Artesanía"/>
    <x v="4"/>
    <n v="5100"/>
    <n v="240"/>
    <n v="4860"/>
    <n v="0"/>
    <n v="0"/>
    <s v=""/>
    <s v=""/>
    <m/>
  </r>
  <r>
    <s v="FE-2017-2018-0032"/>
    <s v="2019-000365"/>
    <x v="143"/>
    <d v="2019-03-21T00:00:00"/>
    <s v="20/9/2024"/>
    <s v="INCENT FEDE"/>
    <s v="Contract"/>
    <s v="J0094"/>
    <s v="JANSSEN CILAG MANUFACTURING LL"/>
    <s v="J0094 - JANSSEN CILAG MANUFACTURING LL"/>
    <s v="GURABO"/>
    <s v="Farmaceútica"/>
    <x v="5"/>
    <n v="400000"/>
    <n v="0"/>
    <n v="0"/>
    <n v="400000"/>
    <n v="110"/>
    <m/>
    <n v="12400000"/>
    <m/>
  </r>
  <r>
    <s v="FE-2017-2018-0033"/>
    <s v="2019-000364"/>
    <x v="143"/>
    <d v="2019-03-21T00:00:00"/>
    <s v="20/3/2024"/>
    <s v="INCENT FEDE"/>
    <s v="Contract"/>
    <s v="J0094"/>
    <s v="JANSSEN CILAG MANUFACTURING LL"/>
    <s v="J0094 - JANSSEN CILAG MANUFACTURING LL"/>
    <s v="GURABO"/>
    <s v="Farmaceútica"/>
    <x v="1"/>
    <n v="2000000"/>
    <n v="0"/>
    <n v="2000000"/>
    <n v="0"/>
    <n v="0"/>
    <n v="64000000"/>
    <m/>
    <m/>
  </r>
  <r>
    <s v="FE-2017-2018-0008"/>
    <s v="2019-000223"/>
    <x v="20"/>
    <d v="2018-12-17T00:00:00"/>
    <s v="16/12/2023"/>
    <s v="INCENT FEDE"/>
    <s v="Contract"/>
    <s v="J0252"/>
    <s v="JARDEN PLASTIC SOLUTIONS PUERTO RICO LLC"/>
    <s v="J0252 - JARDEN PLASTIC SOLUTIONS PUERTO RICO LLC"/>
    <s v="CAROLINA"/>
    <s v="Manufactura de Botellas Plasticas (Injection Molding)"/>
    <x v="5"/>
    <n v="64000"/>
    <n v="0"/>
    <n v="0"/>
    <n v="64000"/>
    <n v="32"/>
    <m/>
    <n v="1344504"/>
    <m/>
  </r>
  <r>
    <s v="FE-2017-2018-0009"/>
    <s v="2019-000224"/>
    <x v="20"/>
    <d v="2018-12-17T00:00:00"/>
    <s v="16/12/2023"/>
    <s v="INCENT FEDE"/>
    <s v="Contract"/>
    <s v="J0252"/>
    <s v="JARDEN PLASTIC SOLUTIONS PUERTO RICO LLC"/>
    <s v="J0252 - JARDEN PLASTIC SOLUTIONS PUERTO RICO LLC"/>
    <s v="CAROLINA"/>
    <s v="Manufactura de Botellas Plasticas (Injection Molding)"/>
    <x v="1"/>
    <n v="275000"/>
    <n v="0"/>
    <n v="0"/>
    <n v="275000"/>
    <n v="0"/>
    <n v="7271000"/>
    <m/>
    <m/>
  </r>
  <r>
    <s v="FIE-2018-2019-IIP-0036"/>
    <s v="2021-000078"/>
    <x v="22"/>
    <d v="2020-08-26T00:00:00"/>
    <s v=""/>
    <s v="INCENT ESP"/>
    <s v="Contract"/>
    <s v="J0271"/>
    <s v="JARDIN HACIENDA MONTECHIQUITO, INC."/>
    <s v="J0271 - JARDIN HACIENDA MONTECHIQUITO, INC."/>
    <s v="SAN JUAN"/>
    <s v="Alimentos"/>
    <x v="10"/>
    <n v="33438.75"/>
    <n v="0"/>
    <n v="0"/>
    <n v="33438.75"/>
    <n v="0"/>
    <n v="35000"/>
    <n v="20000"/>
    <m/>
  </r>
  <r>
    <s v="FIE-2017-2018-IIP-0004"/>
    <s v="2018-000124"/>
    <x v="24"/>
    <d v="2017-10-31T00:00:00"/>
    <s v=""/>
    <s v="INCENT ESP"/>
    <s v="Contract"/>
    <s v="J0002"/>
    <s v="JIMENEZ ROSA, CARMEN A."/>
    <s v="J0002 - JIMENEZ ROSA, CARMEN A."/>
    <s v="SAN JUAN"/>
    <s v="Programa Artesanía"/>
    <x v="4"/>
    <n v="1260"/>
    <n v="0"/>
    <n v="1260"/>
    <n v="0"/>
    <n v="0"/>
    <s v=""/>
    <s v=""/>
    <m/>
  </r>
  <r>
    <s v="FIE-2017-2018-IIP-0004"/>
    <s v="2018-000315"/>
    <x v="24"/>
    <d v="2018-03-08T00:00:00"/>
    <s v=""/>
    <s v="INCENT ESP"/>
    <s v="Contract"/>
    <s v="J0002"/>
    <s v="JIMENEZ ROSA, CARMEN A."/>
    <s v="J0002 - JIMENEZ ROSA, CARMEN A."/>
    <s v="SAN JUAN"/>
    <s v="Programa Artesanía"/>
    <x v="4"/>
    <n v="1260"/>
    <n v="0"/>
    <n v="1260"/>
    <n v="0"/>
    <n v="0"/>
    <s v=""/>
    <s v=""/>
    <m/>
  </r>
  <r>
    <s v="FIE60-2020-2021-0079"/>
    <s v="En Proceso"/>
    <x v="31"/>
    <s v="En Proceso"/>
    <s v=""/>
    <s v="INCENT LEY 60"/>
    <s v="Assignment"/>
    <m/>
    <s v="JIRA MANUFACTURING &amp; DISTRIBUTORS LLC"/>
    <s v="JIRA MANUFACTURING &amp; DISTRIBUTORS LLC"/>
    <s v="SAN JUAN"/>
    <s v="Comercial Bakery"/>
    <x v="8"/>
    <n v="5000"/>
    <n v="0"/>
    <n v="0"/>
    <n v="5000"/>
    <n v="15"/>
    <s v=""/>
    <s v=""/>
    <n v="0.14000000000000001"/>
  </r>
  <r>
    <s v="FIE-2016-2017-IEE-0018"/>
    <s v="2016-000562-C"/>
    <x v="44"/>
    <d v="2016-09-15T00:00:00"/>
    <s v=""/>
    <s v="INCENT ESP"/>
    <s v="Contract"/>
    <s v="J4300"/>
    <s v="JOAQUIN AVINO, INC."/>
    <s v="J4300 - JOAQUIN AVINO, INC."/>
    <s v="CAROLINA"/>
    <s v="Muebles"/>
    <x v="6"/>
    <n v="10527"/>
    <n v="0"/>
    <n v="10527"/>
    <n v="0"/>
    <n v="0"/>
    <s v=""/>
    <s v=""/>
    <m/>
  </r>
  <r>
    <s v="FIE-2016-2017-IEE-0044"/>
    <s v="2017-000340"/>
    <x v="10"/>
    <d v="2017-02-09T00:00:00"/>
    <s v=""/>
    <s v="INCENT ESP"/>
    <s v="Contract"/>
    <s v="J4300"/>
    <s v="JOAQUIN AVINO, INC."/>
    <s v="J4300 - JOAQUIN AVINO, INC."/>
    <s v="CAROLINA"/>
    <s v="Muebles"/>
    <x v="6"/>
    <n v="9241"/>
    <n v="0"/>
    <n v="9241"/>
    <n v="0"/>
    <n v="0"/>
    <s v=""/>
    <s v=""/>
    <m/>
  </r>
  <r>
    <s v="FIE-2017-2018-IEE-0127"/>
    <s v="En Proceso"/>
    <x v="11"/>
    <s v="En Proceso"/>
    <s v=""/>
    <s v="INCENT ESP"/>
    <s v="Assignment"/>
    <s v="J4300"/>
    <s v="JOAQUIN AVINO, INC."/>
    <s v="J4300 - JOAQUIN AVINO, INC."/>
    <s v="CAROLINA"/>
    <s v="Muebles"/>
    <x v="6"/>
    <n v="13738"/>
    <n v="13738"/>
    <n v="0"/>
    <n v="0"/>
    <n v="0"/>
    <s v=""/>
    <s v=""/>
    <m/>
  </r>
  <r>
    <s v="FIE-2018-2019-IEE-0041"/>
    <s v="2019-000346"/>
    <x v="69"/>
    <d v="2019-03-11T00:00:00"/>
    <s v=""/>
    <s v="INCENT ESP"/>
    <s v="Contract"/>
    <s v="J4300"/>
    <s v="JOAQUIN AVINO, INC."/>
    <s v="J4300 - JOAQUIN AVINO, INC."/>
    <s v="CAROLINA"/>
    <s v="Muebles"/>
    <x v="6"/>
    <n v="32993"/>
    <n v="0"/>
    <n v="32993"/>
    <n v="0"/>
    <n v="0"/>
    <s v=""/>
    <s v=""/>
    <m/>
  </r>
  <r>
    <s v="FIE-2018-2019-IEE-0068"/>
    <s v="2019-000346-A"/>
    <x v="13"/>
    <d v="2019-05-07T00:00:00"/>
    <s v=""/>
    <s v="INCENT ESP"/>
    <s v="Contract"/>
    <s v="J4300"/>
    <s v="JOAQUIN AVINO, INC."/>
    <s v="J4300 - JOAQUIN AVINO, INC."/>
    <s v="CAROLINA"/>
    <s v="Muebles"/>
    <x v="6"/>
    <n v="18928"/>
    <n v="0"/>
    <n v="18928"/>
    <n v="0"/>
    <n v="0"/>
    <s v=""/>
    <s v=""/>
    <m/>
  </r>
  <r>
    <s v="FIE-2018-2019-IEE-0078"/>
    <s v="2019-000346-B"/>
    <x v="91"/>
    <d v="2019-06-20T00:00:00"/>
    <s v=""/>
    <s v="INCENT ESP"/>
    <s v="Contract"/>
    <s v="J4300"/>
    <s v="JOAQUIN AVINO, INC."/>
    <s v="J4300 - JOAQUIN AVINO, INC."/>
    <s v="CAROLINA"/>
    <s v="Muebles"/>
    <x v="6"/>
    <n v="12088"/>
    <n v="0"/>
    <n v="12088"/>
    <n v="0"/>
    <n v="0"/>
    <s v=""/>
    <s v=""/>
    <m/>
  </r>
  <r>
    <s v="FIE-2019-2020-IEE-0042"/>
    <s v="2019-000346-C"/>
    <x v="46"/>
    <d v="2019-10-30T00:00:00"/>
    <s v=""/>
    <s v="INCENT ESP"/>
    <s v="Contract"/>
    <s v="J4300"/>
    <s v="JOAQUIN AVINO, INC."/>
    <s v="J4300 - JOAQUIN AVINO, INC."/>
    <s v="CAROLINA"/>
    <s v="Muebles"/>
    <x v="6"/>
    <n v="9626"/>
    <n v="0"/>
    <n v="9626"/>
    <n v="0"/>
    <n v="0"/>
    <s v=""/>
    <s v=""/>
    <m/>
  </r>
  <r>
    <s v="FIE-2019-2020-IEE-0068"/>
    <s v="2020-000243"/>
    <x v="96"/>
    <d v="2019-11-27T00:00:00"/>
    <s v=""/>
    <s v="INCENT ESP"/>
    <s v="Contract"/>
    <s v="J4300"/>
    <s v="JOAQUIN AVINO, INC."/>
    <s v="J4300 - JOAQUIN AVINO, INC."/>
    <s v="CAROLINA"/>
    <s v="Muebles"/>
    <x v="6"/>
    <n v="12096"/>
    <n v="0"/>
    <n v="12096"/>
    <n v="0"/>
    <n v="0"/>
    <s v=""/>
    <s v=""/>
    <m/>
  </r>
  <r>
    <s v="FIE-2019-2020-IEE-0126"/>
    <s v="2020-000243-A"/>
    <x v="92"/>
    <d v="2020-06-17T00:00:00"/>
    <s v=""/>
    <s v="INCENT ESP"/>
    <s v="Contract"/>
    <s v="J4300"/>
    <s v="JOAQUIN AVINO, INC."/>
    <s v="J4300 - JOAQUIN AVINO, INC."/>
    <s v="CAROLINA"/>
    <s v="Muebles"/>
    <x v="6"/>
    <n v="9867"/>
    <n v="0"/>
    <n v="9867"/>
    <n v="0"/>
    <n v="0"/>
    <s v=""/>
    <s v=""/>
    <m/>
  </r>
  <r>
    <s v="FIE60-2020-2021-0064"/>
    <s v="En Proceso"/>
    <x v="17"/>
    <s v="En Proceso"/>
    <s v=""/>
    <s v="INCENT LEY 60"/>
    <s v="Assignment"/>
    <s v="J4300"/>
    <s v="JOAQUIN AVINO, INC."/>
    <s v="J4300 - JOAQUIN AVINO, INC."/>
    <s v="CAROLINA"/>
    <s v="Muebles"/>
    <x v="6"/>
    <n v="7990"/>
    <n v="0"/>
    <n v="0"/>
    <n v="7990"/>
    <n v="0"/>
    <s v=""/>
    <s v=""/>
    <s v=""/>
  </r>
  <r>
    <s v="FIE60-2020-2021-0065"/>
    <s v="En Proceso"/>
    <x v="17"/>
    <s v="En Proceso"/>
    <s v=""/>
    <s v="INCENT LEY 60"/>
    <s v="Assignment"/>
    <s v="J4300"/>
    <s v="JOAQUIN AVINO, INC."/>
    <s v="J4300 - JOAQUIN AVINO, INC."/>
    <s v="CAROLINA"/>
    <s v="Muebles"/>
    <x v="6"/>
    <n v="7072"/>
    <n v="0"/>
    <n v="0"/>
    <n v="7072"/>
    <n v="0"/>
    <s v=""/>
    <s v=""/>
    <s v=""/>
  </r>
  <r>
    <s v="FIE-2017-2018-IIP-0076"/>
    <s v="2018-000221"/>
    <x v="5"/>
    <d v="2017-12-28T00:00:00"/>
    <s v=""/>
    <s v="INCENT ESP"/>
    <s v="Contract"/>
    <s v="J0245"/>
    <s v="JOHN'S CARPET, INC."/>
    <s v="J0245 - JOHN'S CARPET, INC."/>
    <s v="COROZAL"/>
    <s v="Incentivo de Emergencias Huracanes - Generadores"/>
    <x v="3"/>
    <n v="50000"/>
    <n v="0"/>
    <n v="50000"/>
    <n v="0"/>
    <n v="0"/>
    <s v=""/>
    <s v=""/>
    <m/>
  </r>
  <r>
    <s v="FIE-2017-2018-IIP-0004"/>
    <s v="2018-000318"/>
    <x v="24"/>
    <d v="2018-03-08T00:00:00"/>
    <s v=""/>
    <s v="INCENT ESP"/>
    <s v="Contract"/>
    <s v="J5800"/>
    <s v="JORGE A. ROMERO NAVEDO"/>
    <s v="J5800 - JORGE A. ROMERO NAVEDO"/>
    <s v="SAN JUAN"/>
    <s v="Programa Artesanía"/>
    <x v="4"/>
    <n v="1080"/>
    <n v="0"/>
    <n v="1080"/>
    <n v="0"/>
    <n v="0"/>
    <s v=""/>
    <s v=""/>
    <m/>
  </r>
  <r>
    <s v="FIE-2017-2018-IIP-0004"/>
    <s v="2018-000351"/>
    <x v="24"/>
    <d v="2018-04-13T00:00:00"/>
    <s v=""/>
    <s v="INCENT ESP"/>
    <s v="Contract"/>
    <s v="J5800"/>
    <s v="JORGE A. ROMERO NAVEDO"/>
    <s v="J5800 - JORGE A. ROMERO NAVEDO"/>
    <s v="SAN JUAN"/>
    <s v="Programa Artesanía"/>
    <x v="4"/>
    <n v="150"/>
    <n v="0"/>
    <n v="150"/>
    <n v="0"/>
    <n v="0"/>
    <s v=""/>
    <s v=""/>
    <m/>
  </r>
  <r>
    <s v="FIE-2018-2019-IIP-0012"/>
    <s v="2019-000129"/>
    <x v="2"/>
    <d v="2018-09-10T00:00:00"/>
    <s v=""/>
    <s v="INCENT ESP"/>
    <s v="Contract"/>
    <s v="J5800"/>
    <s v="JORGE A. ROMERO NAVEDO"/>
    <s v="J5800 - JORGE A. ROMERO NAVEDO"/>
    <s v="SAN JUAN"/>
    <s v="Programa Artesanía"/>
    <x v="4"/>
    <n v="1080"/>
    <n v="0"/>
    <n v="1080"/>
    <n v="0"/>
    <n v="0"/>
    <s v=""/>
    <s v=""/>
    <m/>
  </r>
  <r>
    <s v="FIE-2019-2020-IIP-0021"/>
    <s v="2020-000126"/>
    <x v="7"/>
    <d v="2019-08-29T00:00:00"/>
    <s v=""/>
    <s v="INCENT ESP"/>
    <s v="Contract"/>
    <s v="J5800"/>
    <s v="JORGE A. ROMERO NAVEDO"/>
    <s v="J5800 - JORGE A. ROMERO NAVEDO"/>
    <s v="SAN JUAN"/>
    <s v="Programa Artesanía"/>
    <x v="4"/>
    <n v="1080"/>
    <n v="0"/>
    <n v="1080"/>
    <n v="0"/>
    <n v="0"/>
    <s v=""/>
    <s v=""/>
    <m/>
  </r>
  <r>
    <s v="FIE-2016-2017-IIP-0005"/>
    <s v="2017-000444"/>
    <x v="6"/>
    <d v="2017-05-22T00:00:00"/>
    <s v=""/>
    <s v="INCENT ESP"/>
    <s v="Contract"/>
    <s v="J0081"/>
    <s v="JOSE J DIAZ VAZQUEZ"/>
    <s v="J0081 - JOSE J DIAZ VAZQUEZ"/>
    <s v="SAN JUAN"/>
    <s v="Programa Artesanía"/>
    <x v="4"/>
    <n v="996"/>
    <n v="0"/>
    <n v="996"/>
    <n v="0"/>
    <n v="0"/>
    <s v=""/>
    <s v=""/>
    <m/>
  </r>
  <r>
    <s v="FIE-2016-2017-IIP-0004"/>
    <s v="2017-000198"/>
    <x v="6"/>
    <d v="2016-10-14T00:00:00"/>
    <s v=""/>
    <s v="INCENT ESP"/>
    <s v="Contract"/>
    <s v="J0023"/>
    <s v="JOSE L PENA BURGOS"/>
    <s v="J0023 - JOSE L PENA BURGOS"/>
    <s v="SAN JUAN"/>
    <s v="Programa Artesanía"/>
    <x v="4"/>
    <n v="207"/>
    <n v="0"/>
    <n v="207"/>
    <n v="0"/>
    <n v="0"/>
    <s v=""/>
    <s v=""/>
    <m/>
  </r>
  <r>
    <s v="FIE-2018-2019-IIP-0036"/>
    <s v="2021-000142"/>
    <x v="22"/>
    <d v="2020-10-13T00:00:00"/>
    <s v=""/>
    <s v="INCENT ESP"/>
    <s v="Contract"/>
    <s v="J0272"/>
    <s v="JOSE LUIS JIMENEZ H/N/C "/>
    <s v="J0272 - JOSE LUIS JIMENEZ H/N/C "/>
    <s v="SAN JUAN"/>
    <s v="Alimentos"/>
    <x v="10"/>
    <n v="52016"/>
    <n v="0"/>
    <n v="0"/>
    <n v="52016"/>
    <n v="0"/>
    <s v=""/>
    <s v=""/>
    <m/>
  </r>
  <r>
    <s v="FIE-2017-2018-IIP-0090"/>
    <s v="2018-000233"/>
    <x v="63"/>
    <d v="2017-12-29T00:00:00"/>
    <s v=""/>
    <s v="INCENT ESP"/>
    <s v="Contract"/>
    <s v="J0244"/>
    <s v="JR DRAPERY, INC."/>
    <s v="J0244 - JR DRAPERY, INC."/>
    <s v="SAN JUAN"/>
    <s v="Incentivo de Emergencias Huracanes - Generadores"/>
    <x v="3"/>
    <n v="16926"/>
    <n v="8360"/>
    <n v="8566"/>
    <n v="0"/>
    <n v="0"/>
    <s v=""/>
    <s v=""/>
    <m/>
  </r>
  <r>
    <s v="FIE-2017-2018-IIP-0057"/>
    <s v="2018-000218"/>
    <x v="144"/>
    <d v="2017-12-28T00:00:00"/>
    <s v=""/>
    <s v="INCENT ESP"/>
    <s v="Contract"/>
    <s v="J0000"/>
    <s v="JR FAST DIGITAL PRINTING, INC"/>
    <s v="J0000 - JR FAST DIGITAL PRINTING, INC"/>
    <s v="SAN JUAN"/>
    <s v="Incentivo de Emergencias Huracanes - Generadores"/>
    <x v="3"/>
    <n v="25000"/>
    <n v="0"/>
    <n v="25000"/>
    <n v="0"/>
    <n v="0"/>
    <s v=""/>
    <s v=""/>
    <m/>
  </r>
  <r>
    <s v="FIE-2019-2020-IIP-0017"/>
    <s v="2020-000350"/>
    <x v="145"/>
    <d v="2020-03-12T00:00:00"/>
    <s v=""/>
    <s v="INCENT ESP"/>
    <s v="Contract"/>
    <s v="J0000"/>
    <s v="JR FAST DIGITAL PRINTING, INC"/>
    <s v="J0000 - JR FAST DIGITAL PRINTING, INC"/>
    <s v="SAN JUAN"/>
    <s v="IMPRESOS DIGITALES"/>
    <x v="5"/>
    <n v="6000"/>
    <n v="0"/>
    <n v="1440"/>
    <n v="4560"/>
    <n v="2"/>
    <m/>
    <n v="35000"/>
    <m/>
  </r>
  <r>
    <s v="FIE-2019-2020-IIP-0018"/>
    <s v="2020-000356"/>
    <x v="145"/>
    <d v="2020-02-18T00:00:00"/>
    <s v=""/>
    <s v="INCENT ESP"/>
    <s v="Contract"/>
    <s v="J0000"/>
    <s v="JR FAST DIGITAL PRINTING, INC"/>
    <s v="J0000 - JR FAST DIGITAL PRINTING, INC"/>
    <s v="SAN JUAN"/>
    <s v="IMPRESOS DIGITALES"/>
    <x v="2"/>
    <n v="24245"/>
    <n v="0"/>
    <n v="21820.5"/>
    <n v="2424.5"/>
    <n v="0"/>
    <n v="80029"/>
    <m/>
    <m/>
  </r>
  <r>
    <s v="FIE-2016-2017-IEE-0028"/>
    <s v="2016-000592-C"/>
    <x v="9"/>
    <d v="2016-11-15T00:00:00"/>
    <s v=""/>
    <s v="INCENT ESP"/>
    <s v="Contract"/>
    <s v="J8200"/>
    <s v="JUAN C. TORRES SUCRS., INC."/>
    <s v="J8200 - JUAN C. TORRES SUCRS., INC."/>
    <s v="PONCE"/>
    <s v="Muebles"/>
    <x v="6"/>
    <n v="711"/>
    <n v="0"/>
    <n v="711"/>
    <n v="0"/>
    <n v="0"/>
    <s v=""/>
    <s v=""/>
    <m/>
  </r>
  <r>
    <s v="FIE-2016-2017-IEE-0040"/>
    <s v="2017-000371"/>
    <x v="10"/>
    <d v="2017-02-27T00:00:00"/>
    <s v=""/>
    <s v="INCENT ESP"/>
    <s v="Contract"/>
    <s v="J8200"/>
    <s v="JUAN C. TORRES SUCRS., INC."/>
    <s v="J8200 - JUAN C. TORRES SUCRS., INC."/>
    <s v="PONCE"/>
    <s v="Muebles"/>
    <x v="6"/>
    <n v="708"/>
    <n v="0"/>
    <n v="708"/>
    <n v="0"/>
    <n v="0"/>
    <s v=""/>
    <s v=""/>
    <m/>
  </r>
  <r>
    <s v="FIE-2017-2018-IEE-0130"/>
    <s v="En Proceso"/>
    <x v="11"/>
    <s v="En Proceso"/>
    <s v=""/>
    <s v="INCENT ESP"/>
    <s v="Assignment"/>
    <s v="J8200"/>
    <s v="JUAN C. TORRES SUCRS., INC."/>
    <s v="J8200 - JUAN C. TORRES SUCRS., INC."/>
    <s v="PONCE"/>
    <s v="Muebles"/>
    <x v="6"/>
    <n v="1037"/>
    <n v="0"/>
    <n v="0"/>
    <n v="1037"/>
    <n v="0"/>
    <s v=""/>
    <s v=""/>
    <m/>
  </r>
  <r>
    <s v="FIE-2018-2019-IIP-0036"/>
    <s v="2020-000360"/>
    <x v="22"/>
    <d v="2020-02-20T00:00:00"/>
    <s v=""/>
    <s v="INCENT ESP"/>
    <s v="Contract"/>
    <s v="J0266"/>
    <s v="JUAN JOSE CARTAGENA H/N/C"/>
    <s v="J0266 - JUAN JOSE CARTAGENA H/N/C"/>
    <s v="SAN JUAN"/>
    <s v="Alimentos"/>
    <x v="10"/>
    <n v="39285"/>
    <n v="0"/>
    <n v="0"/>
    <n v="39285"/>
    <n v="0"/>
    <s v=""/>
    <s v=""/>
    <m/>
  </r>
  <r>
    <s v="FIE-2018-2019-IIP-0015"/>
    <s v="2019-000491"/>
    <x v="2"/>
    <d v="2019-06-24T00:00:00"/>
    <s v=""/>
    <s v="INCENT ESP"/>
    <s v="Contract"/>
    <s v="J0188"/>
    <s v="JUAN R. SILVA VAZQUEZ"/>
    <s v="J0188 - JUAN R. SILVA VAZQUEZ"/>
    <s v="SAN JUAN"/>
    <s v="Programa Artesanía"/>
    <x v="4"/>
    <n v="1000"/>
    <n v="0"/>
    <n v="1000"/>
    <n v="0"/>
    <n v="0"/>
    <s v=""/>
    <s v=""/>
    <m/>
  </r>
  <r>
    <s v="FIE-2018-2019-IIP-0036"/>
    <s v="2021-000048"/>
    <x v="22"/>
    <d v="2020-07-27T00:00:00"/>
    <s v=""/>
    <s v="INCENT ESP"/>
    <s v="Contract"/>
    <s v="J0270"/>
    <s v="JUAN ROBLES NIEVES"/>
    <s v="J0270 - JUAN ROBLES NIEVES"/>
    <s v="SAN JUAN"/>
    <s v="Alimentos"/>
    <x v="10"/>
    <n v="175050"/>
    <n v="0"/>
    <n v="0"/>
    <n v="175050"/>
    <n v="0"/>
    <n v="254400"/>
    <n v="37440"/>
    <m/>
  </r>
  <r>
    <s v="FIE-2017-2018-IIP-0004"/>
    <s v="2018-000334"/>
    <x v="24"/>
    <d v="2018-02-27T00:00:00"/>
    <s v=""/>
    <s v="INCENT ESP"/>
    <s v="Contract"/>
    <s v="J0034"/>
    <s v="JUANITA ALVAREZ NIEVES"/>
    <s v="J0034 - JUANITA ALVAREZ NIEVES"/>
    <s v="SAN JUAN"/>
    <s v="Programa Artesanía"/>
    <x v="4"/>
    <n v="1525"/>
    <n v="70"/>
    <n v="1455"/>
    <n v="0"/>
    <n v="0"/>
    <s v=""/>
    <s v=""/>
    <m/>
  </r>
  <r>
    <s v="FE-2019-2020-0030"/>
    <s v="2020-000135"/>
    <x v="4"/>
    <d v="2019-09-09T00:00:00"/>
    <d v="2022-08-09T00:00:00"/>
    <s v="INCENT FEDE"/>
    <s v="Contract"/>
    <s v="K0350"/>
    <s v="KANDOR MANUFACTURING, INC."/>
    <s v="K0350 - KANDOR MANUFACTURING, INC."/>
    <s v="ARECIBO"/>
    <s v="MANUFACTURA DE UNIFORMES MILITARES "/>
    <x v="5"/>
    <n v="220000"/>
    <n v="0"/>
    <n v="73333.33"/>
    <n v="146666.66999999998"/>
    <n v="220"/>
    <m/>
    <n v="3750000"/>
    <m/>
  </r>
  <r>
    <s v="FE-2019-2020-0031"/>
    <s v="2020-000136"/>
    <x v="4"/>
    <d v="2019-09-09T00:00:00"/>
    <d v="2024-08-09T00:00:00"/>
    <s v="INCENT FEDE"/>
    <s v="Contract"/>
    <s v="K0350"/>
    <s v="KANDOR MANUFACTURING, INC."/>
    <s v="K0350 - KANDOR MANUFACTURING, INC."/>
    <s v="ARECIBO"/>
    <s v="MANUFACTURA DE UNIFORMES MILITARES "/>
    <x v="2"/>
    <n v="900000"/>
    <n v="0"/>
    <n v="725943.95"/>
    <n v="174056.05000000005"/>
    <n v="0"/>
    <n v="1350000"/>
    <m/>
    <m/>
  </r>
  <r>
    <s v="FE-2019-2020-0075"/>
    <s v="En Proceso"/>
    <x v="54"/>
    <s v="En Proceso"/>
    <s v=""/>
    <s v="INCENT FEDE"/>
    <s v="Assignment"/>
    <s v="K0350"/>
    <s v="KANDOR MANUFACTURING, INC."/>
    <s v="K0350 - KANDOR MANUFACTURING, INC."/>
    <s v="ARECIBO"/>
    <s v="MANUFACTURA DE UNIFORMES MILITARES "/>
    <x v="5"/>
    <n v="570000"/>
    <n v="0"/>
    <n v="0"/>
    <n v="570000"/>
    <n v="190"/>
    <m/>
    <n v="4635000"/>
    <m/>
  </r>
  <r>
    <s v="FE-2019-2020-0079"/>
    <s v="En Proceso"/>
    <x v="54"/>
    <s v="En Proceso"/>
    <s v=""/>
    <s v="INCENT FEDE"/>
    <s v="Assignment"/>
    <s v="K0350"/>
    <s v="KANDOR MANUFACTURING, INC."/>
    <s v="K0350 - KANDOR MANUFACTURING, INC."/>
    <s v="ARECIBO"/>
    <s v="MANUFACTURA DE UNIFORMES MILITARES "/>
    <x v="5"/>
    <n v="360000"/>
    <n v="0"/>
    <n v="0"/>
    <n v="360000"/>
    <n v="120"/>
    <m/>
    <n v="2435000"/>
    <m/>
  </r>
  <r>
    <s v="FE-2019-2020-0076"/>
    <s v="En Proceso"/>
    <x v="54"/>
    <s v="En Proceso"/>
    <s v=""/>
    <s v="INCENT FEDE"/>
    <s v="Assignment"/>
    <s v="K0350"/>
    <s v="KANDOR MANUFACTURING, INC."/>
    <s v="K0350 - KANDOR MANUFACTURING, INC."/>
    <s v="ARECIBO"/>
    <s v="MANUFACTURA DE UNIFORMES MILITARES "/>
    <x v="1"/>
    <n v="250000"/>
    <n v="0"/>
    <n v="0"/>
    <n v="250000"/>
    <n v="0"/>
    <s v=""/>
    <n v="965000"/>
    <m/>
  </r>
  <r>
    <s v="FE-2019-2020-0077"/>
    <s v="En Proceso"/>
    <x v="54"/>
    <s v="En Proceso"/>
    <s v=""/>
    <s v="INCENT FEDE"/>
    <s v="Assignment"/>
    <s v="K0350"/>
    <s v="KANDOR MANUFACTURING, INC."/>
    <s v="K0350 - KANDOR MANUFACTURING, INC."/>
    <s v="ARECIBO"/>
    <s v="MANUFACTURA DE UNIFORMES MILITARES "/>
    <x v="2"/>
    <n v="250000"/>
    <n v="0"/>
    <n v="0"/>
    <n v="250000"/>
    <n v="0"/>
    <s v=""/>
    <m/>
    <m/>
  </r>
  <r>
    <s v="FE-2019-2020-0078"/>
    <s v="En Proceso"/>
    <x v="54"/>
    <s v="En Proceso"/>
    <s v=""/>
    <s v="INCENT FEDE"/>
    <s v="Assignment"/>
    <s v="K0350"/>
    <s v="KANDOR MANUFACTURING, INC."/>
    <s v="K0350 - KANDOR MANUFACTURING, INC."/>
    <s v="ARECIBO"/>
    <s v="MANUFACTURA DE UNIFORMES MILITARES "/>
    <x v="2"/>
    <n v="250000"/>
    <n v="0"/>
    <n v="0"/>
    <n v="250000"/>
    <n v="0"/>
    <s v=""/>
    <m/>
    <m/>
  </r>
  <r>
    <s v="FIE-2019-2020-IIP-0025"/>
    <s v="2020-000254"/>
    <x v="7"/>
    <d v="2019-11-27T00:00:00"/>
    <s v=""/>
    <s v="INCENT ESP"/>
    <s v="Contract"/>
    <s v="K0800"/>
    <s v="KANDOR MFG., INC."/>
    <s v="K0800 - KANDOR MFG., INC."/>
    <s v="ARECIBO"/>
    <s v="Costura"/>
    <x v="0"/>
    <n v="40000"/>
    <n v="0"/>
    <n v="8937.91"/>
    <n v="31062.09"/>
    <n v="0"/>
    <s v=""/>
    <s v=""/>
    <m/>
  </r>
  <r>
    <s v="FIE-2019-2020-IIP-0074"/>
    <s v="2020-000451"/>
    <x v="100"/>
    <d v="2020-06-28T00:00:00"/>
    <s v=""/>
    <s v="INCENT ESP"/>
    <s v="Contract"/>
    <s v="K0028"/>
    <s v="KEFRUITS LLC"/>
    <s v="K0028 - KEFRUITS LLC"/>
    <s v="CAROLINA"/>
    <s v="PROCESAMIENTO DE  CARNES DE RES, CERDO Y PEQUEÑOS RUMIANTES"/>
    <x v="5"/>
    <n v="12500"/>
    <n v="0"/>
    <n v="0"/>
    <n v="12500"/>
    <n v="25"/>
    <m/>
    <n v="218760"/>
    <m/>
  </r>
  <r>
    <s v="FIE-2019-2020-IIP-0073"/>
    <s v="2020-000450"/>
    <x v="100"/>
    <d v="2020-06-28T00:00:00"/>
    <s v=""/>
    <s v="INCENT ESP"/>
    <s v="Contract"/>
    <s v="K0028"/>
    <s v="KEFRUITS LLC"/>
    <s v="K0028 - KEFRUITS LLC"/>
    <s v="CAROLINA"/>
    <s v="PROCESAMIENTO DE  CARNES DE RES, CERDO Y PEQUEÑOS RUMIANTES"/>
    <x v="2"/>
    <n v="85691"/>
    <n v="0"/>
    <n v="0"/>
    <n v="85691"/>
    <n v="0"/>
    <n v="522000"/>
    <m/>
    <m/>
  </r>
  <r>
    <s v="FE-2019-2020-0065"/>
    <s v="2020-000317-B"/>
    <x v="43"/>
    <d v="2020-08-28T00:00:00"/>
    <s v=""/>
    <s v="INCENT FEDE"/>
    <s v="Contract"/>
    <s v="K0038"/>
    <s v="KEVANE GRANT THORNTON, LLC"/>
    <s v="K0038 - KEVANE GRANT THORNTON, LLC"/>
    <s v="SAN JUAN"/>
    <s v="Código de Incentivos"/>
    <x v="16"/>
    <n v="1499000"/>
    <n v="45558.239999999998"/>
    <n v="883881.25"/>
    <n v="569560.51"/>
    <n v="0"/>
    <s v=""/>
    <s v=""/>
    <m/>
  </r>
  <r>
    <s v="FIE-2016-2017-IIP-0004"/>
    <s v="2017-000461"/>
    <x v="6"/>
    <d v="2017-06-16T00:00:00"/>
    <s v=""/>
    <s v="INCENT ESP"/>
    <s v="Contract"/>
    <s v="K0032"/>
    <s v="KINGDOM SOLUTIONS CORP."/>
    <s v="K0032 - KINGDOM SOLUTIONS CORP."/>
    <s v="SAN JUAN"/>
    <s v="Programa Artesanía"/>
    <x v="4"/>
    <n v="315"/>
    <n v="0"/>
    <n v="315"/>
    <n v="0"/>
    <n v="0"/>
    <s v=""/>
    <s v=""/>
    <m/>
  </r>
  <r>
    <s v="FIE-2018-2019-IIP-0030"/>
    <s v="2021-000081"/>
    <x v="20"/>
    <d v="2020-08-31T00:00:00"/>
    <s v=""/>
    <s v="INCENT ESP"/>
    <s v="Contract"/>
    <s v="K0040"/>
    <s v="KIWI FINANCIAL, LLC"/>
    <s v="K0040 - KIWI FINANCIAL, LLC"/>
    <s v="SAN JUAN"/>
    <s v="Tecnología"/>
    <x v="7"/>
    <n v="50000"/>
    <n v="0"/>
    <n v="25000"/>
    <n v="25000"/>
    <n v="0"/>
    <n v="585000"/>
    <n v="475800"/>
    <m/>
  </r>
  <r>
    <s v="FIE-2017-2018-IIP-0007"/>
    <s v="2018-000400"/>
    <x v="24"/>
    <d v="2018-06-21T00:00:00"/>
    <s v=""/>
    <s v="INCENT ESP"/>
    <s v="Contract"/>
    <s v="K0011"/>
    <s v="KRAMAS, INC."/>
    <s v="K0011 - KRAMAS, INC."/>
    <s v="SAN JUAN"/>
    <s v="Programa Artesanía"/>
    <x v="4"/>
    <n v="2314"/>
    <n v="0"/>
    <n v="2314"/>
    <n v="0"/>
    <n v="0"/>
    <s v=""/>
    <s v=""/>
    <m/>
  </r>
  <r>
    <s v="FIE-2016-2017-IEE-0014"/>
    <s v="2016-000590-C"/>
    <x v="44"/>
    <d v="2016-10-11T00:00:00"/>
    <s v=""/>
    <s v="INCENT ESP"/>
    <s v="Contract"/>
    <s v="L0500"/>
    <s v="L. S. QUILTING, INC."/>
    <s v="L0500 - L. S. QUILTING, INC."/>
    <s v="SAN JUAN"/>
    <s v="Muebles"/>
    <x v="6"/>
    <n v="11868"/>
    <n v="0"/>
    <n v="11868"/>
    <n v="0"/>
    <n v="0"/>
    <s v=""/>
    <s v=""/>
    <m/>
  </r>
  <r>
    <s v="FIE-2015-2016-IEE-0139"/>
    <s v="2017-000327"/>
    <x v="10"/>
    <d v="2017-02-01T00:00:00"/>
    <s v=""/>
    <s v="INCENT ESP"/>
    <s v="Contract"/>
    <s v="L0500"/>
    <s v="L. S. QUILTING, INC."/>
    <s v="L0500 - L. S. QUILTING, INC."/>
    <s v="SAN JUAN"/>
    <s v="Muebles"/>
    <x v="6"/>
    <n v="10077"/>
    <n v="0"/>
    <n v="10077"/>
    <n v="0"/>
    <n v="0"/>
    <s v=""/>
    <s v=""/>
    <m/>
  </r>
  <r>
    <s v="FIE-2017-2018-IEE-0128"/>
    <s v="En Proceso"/>
    <x v="11"/>
    <s v="En Proceso"/>
    <s v=""/>
    <s v="INCENT ESP"/>
    <s v="Assignment"/>
    <s v="L0500"/>
    <s v="L. S. QUILTING, INC."/>
    <s v="L0500 - L. S. QUILTING, INC."/>
    <s v="SAN JUAN"/>
    <s v="Muebles"/>
    <x v="6"/>
    <n v="15352"/>
    <n v="15352"/>
    <n v="0"/>
    <n v="0"/>
    <n v="0"/>
    <s v=""/>
    <s v=""/>
    <m/>
  </r>
  <r>
    <s v="FIE-2018-2019-IEE-0032"/>
    <s v="2019-000252"/>
    <x v="111"/>
    <d v="2019-02-05T00:00:00"/>
    <s v=""/>
    <s v="INCENT ESP"/>
    <s v="Contract"/>
    <s v="L0500"/>
    <s v="L. S. QUILTING, INC."/>
    <s v="L0500 - L. S. QUILTING, INC."/>
    <s v="SAN JUAN"/>
    <s v="Muebles"/>
    <x v="6"/>
    <n v="11378"/>
    <n v="0"/>
    <n v="11378"/>
    <n v="0"/>
    <n v="0"/>
    <s v=""/>
    <s v=""/>
    <m/>
  </r>
  <r>
    <s v="FIE-2018-2019-IEE-0045"/>
    <s v="2019-000252-A"/>
    <x v="69"/>
    <d v="2019-03-29T00:00:00"/>
    <s v=""/>
    <s v="INCENT ESP"/>
    <s v="Contract"/>
    <s v="L0500"/>
    <s v="L. S. QUILTING, INC."/>
    <s v="L0500 - L. S. QUILTING, INC."/>
    <s v="SAN JUAN"/>
    <s v="Muebles"/>
    <x v="6"/>
    <n v="16748"/>
    <n v="0"/>
    <n v="16748"/>
    <n v="0"/>
    <n v="0"/>
    <s v=""/>
    <s v=""/>
    <m/>
  </r>
  <r>
    <s v="FIE-2018-2019-IEE-0092"/>
    <s v="2019-000252-B"/>
    <x v="146"/>
    <d v="2019-08-02T00:00:00"/>
    <s v=""/>
    <s v="INCENT ESP"/>
    <s v="Contract"/>
    <s v="L0500"/>
    <s v="L. S. QUILTING, INC."/>
    <s v="L0500 - L. S. QUILTING, INC."/>
    <s v="SAN JUAN"/>
    <s v="Muebles"/>
    <x v="6"/>
    <n v="11825"/>
    <n v="0"/>
    <n v="11825"/>
    <n v="0"/>
    <n v="0"/>
    <s v=""/>
    <s v=""/>
    <m/>
  </r>
  <r>
    <s v="FIE-2019-2020-IEE-0049"/>
    <s v="2019-000252-C"/>
    <x v="46"/>
    <d v="2019-10-24T00:00:00"/>
    <s v=""/>
    <s v="INCENT ESP"/>
    <s v="Contract"/>
    <s v="L0500"/>
    <s v="L. S. QUILTING, INC."/>
    <s v="L0500 - L. S. QUILTING, INC."/>
    <s v="SAN JUAN"/>
    <s v="Muebles"/>
    <x v="6"/>
    <n v="13279"/>
    <n v="0"/>
    <n v="13279"/>
    <n v="0"/>
    <n v="0"/>
    <s v=""/>
    <s v=""/>
    <m/>
  </r>
  <r>
    <s v="FIE-2019-2020-IEE-0069"/>
    <s v="2020-000244"/>
    <x v="96"/>
    <d v="2019-12-02T00:00:00"/>
    <s v=""/>
    <s v="INCENT ESP"/>
    <s v="Contract"/>
    <s v="L0500"/>
    <s v="L. S. QUILTING, INC."/>
    <s v="L0500 - L. S. QUILTING, INC."/>
    <s v="SAN JUAN"/>
    <s v="Muebles"/>
    <x v="6"/>
    <n v="11517"/>
    <n v="0"/>
    <n v="11517"/>
    <n v="0"/>
    <n v="0"/>
    <s v=""/>
    <s v=""/>
    <m/>
  </r>
  <r>
    <s v="FIE-2019-2020-IEE-0124"/>
    <s v="2020-000244-A"/>
    <x v="92"/>
    <d v="2020-06-17T00:00:00"/>
    <s v=""/>
    <s v="INCENT ESP"/>
    <s v="Contract"/>
    <s v="L0500"/>
    <s v="L. S. QUILTING, INC."/>
    <s v="L0500 - L. S. QUILTING, INC."/>
    <s v="SAN JUAN"/>
    <s v="Muebles"/>
    <x v="6"/>
    <n v="15015"/>
    <n v="0"/>
    <n v="15015"/>
    <n v="0"/>
    <n v="0"/>
    <s v=""/>
    <s v=""/>
    <m/>
  </r>
  <r>
    <s v="FIE-2019-2020-IEE-0138"/>
    <s v="2020-0000244-B"/>
    <x v="47"/>
    <d v="2020-08-31T00:00:00"/>
    <s v=""/>
    <s v="INCENT ESP"/>
    <s v="Contract"/>
    <s v="L0500"/>
    <s v="L. S. QUILTING, INC."/>
    <s v="L0500 - L. S. QUILTING, INC."/>
    <s v="SAN JUAN"/>
    <s v="Muebles"/>
    <x v="6"/>
    <n v="11553"/>
    <n v="0"/>
    <n v="0"/>
    <n v="11553"/>
    <n v="0"/>
    <s v=""/>
    <s v=""/>
    <m/>
  </r>
  <r>
    <s v="FIE-2019-2020-IEE-0138"/>
    <s v="2020-000244-B"/>
    <x v="47"/>
    <d v="2020-08-31T00:00:00"/>
    <s v=""/>
    <s v="INCENT ESP"/>
    <s v="Contract"/>
    <s v="L0500"/>
    <s v="L. S. QUILTING, INC."/>
    <s v="L0500 - L. S. QUILTING, INC."/>
    <s v="SAN JUAN"/>
    <s v="Muebles"/>
    <x v="6"/>
    <n v="11553"/>
    <n v="0"/>
    <n v="11553"/>
    <n v="0"/>
    <n v="0"/>
    <s v=""/>
    <s v=""/>
    <m/>
  </r>
  <r>
    <s v="FIE60-2020-2021-0066"/>
    <s v="En Proceso"/>
    <x v="17"/>
    <s v="En Proceso"/>
    <s v=""/>
    <s v="INCENT LEY 60"/>
    <s v="Assignment"/>
    <s v="L0500"/>
    <s v="L. S. QUILTING, INC."/>
    <s v="L0500 - L. S. QUILTING, INC."/>
    <s v="SAN JUAN"/>
    <s v="Muebles"/>
    <x v="6"/>
    <n v="8683"/>
    <n v="0"/>
    <n v="0"/>
    <n v="8683"/>
    <n v="0"/>
    <s v=""/>
    <s v=""/>
    <s v=""/>
  </r>
  <r>
    <s v="FIE-2016-2017-IIP-0006"/>
    <s v="2017-000404"/>
    <x v="6"/>
    <d v="2017-04-10T00:00:00"/>
    <s v=""/>
    <s v="INCENT ESP"/>
    <s v="Contract"/>
    <s v="L0000"/>
    <s v="L.R. PRINTING CORP."/>
    <s v="L0000 - L.R. PRINTING CORP."/>
    <s v="SAN JUAN"/>
    <s v="Programa Artesanía"/>
    <x v="4"/>
    <n v="6323"/>
    <n v="0"/>
    <n v="6323"/>
    <n v="0"/>
    <n v="0"/>
    <s v=""/>
    <s v=""/>
    <m/>
  </r>
  <r>
    <s v="FIE-2019-2020-IIP-0035"/>
    <s v="2020-000330"/>
    <x v="78"/>
    <d v="2020-01-31T00:00:00"/>
    <s v=""/>
    <s v="INCENT ESP"/>
    <s v="Contract"/>
    <s v="L0293"/>
    <s v="LA CEIBA CORP."/>
    <s v="L0293 - LA CEIBA CORP."/>
    <s v="BARRANQUITAS"/>
    <s v="Turnovers made with vegetable flour"/>
    <x v="5"/>
    <n v="16000"/>
    <n v="0"/>
    <n v="0"/>
    <n v="16000"/>
    <n v="10"/>
    <m/>
    <n v="176800"/>
    <m/>
  </r>
  <r>
    <s v="FIE-2019-2020-IIP-0059"/>
    <s v="2020-000332"/>
    <x v="78"/>
    <d v="2020-01-31T00:00:00"/>
    <s v=""/>
    <s v="INCENT ESP"/>
    <s v="Contract"/>
    <s v="L0293"/>
    <s v="LA CEIBA CORP."/>
    <s v="L0293 - LA CEIBA CORP."/>
    <s v="BARRANQUITAS"/>
    <s v="Turnovers made with vegetable flour"/>
    <x v="1"/>
    <n v="100000"/>
    <n v="0"/>
    <n v="0"/>
    <n v="100000"/>
    <n v="0"/>
    <m/>
    <m/>
    <m/>
  </r>
  <r>
    <s v="FIE-2019-2020-IIP-0060"/>
    <s v="En Proceso"/>
    <x v="78"/>
    <s v="En Proceso"/>
    <s v=""/>
    <s v="INCENT ESP"/>
    <s v="Assignment"/>
    <s v="L0293"/>
    <s v="LA CEIBA CORP."/>
    <s v="L0293 - LA CEIBA CORP."/>
    <s v="BARRANQUITAS"/>
    <s v="Turnovers made with vegetable flour"/>
    <x v="2"/>
    <n v="50000"/>
    <n v="0"/>
    <n v="0"/>
    <n v="50000"/>
    <n v="0"/>
    <n v="107000"/>
    <m/>
    <m/>
  </r>
  <r>
    <s v="FIE-2018-2019-IIP-0036"/>
    <s v="2020-000322"/>
    <x v="22"/>
    <d v="2020-01-31T00:00:00"/>
    <s v=""/>
    <s v="INCENT ESP"/>
    <s v="Contract"/>
    <s v="L0311"/>
    <s v="LA HACIENDA CITRUS, INC."/>
    <s v="L0311 - LA HACIENDA CITRUS, INC."/>
    <s v="UTUADO"/>
    <s v="Alimentos"/>
    <x v="10"/>
    <n v="79491"/>
    <n v="0"/>
    <n v="0"/>
    <n v="79491"/>
    <n v="0"/>
    <n v="7982"/>
    <n v="52780"/>
    <m/>
  </r>
  <r>
    <s v="FIE-2019-2020-IIP-0021"/>
    <s v="2020-000268"/>
    <x v="7"/>
    <d v="2019-12-02T00:00:00"/>
    <s v=""/>
    <s v="INCENT ESP"/>
    <s v="Contract"/>
    <s v="L0304"/>
    <s v="LA MAISON SUISSE"/>
    <s v="L0304 - LA MAISON SUISSE"/>
    <s v="SAN JUAN"/>
    <s v="Programa Artesanía"/>
    <x v="4"/>
    <n v="3195.5"/>
    <n v="0"/>
    <n v="3195.5"/>
    <n v="0"/>
    <n v="0"/>
    <s v=""/>
    <s v=""/>
    <m/>
  </r>
  <r>
    <s v="FIE-2019-2020-IIP-0021"/>
    <s v="2020-000269"/>
    <x v="7"/>
    <d v="2019-12-02T00:00:00"/>
    <s v=""/>
    <s v="INCENT ESP"/>
    <s v="Contract"/>
    <s v="L0304"/>
    <s v="LA MAISON SUISSE"/>
    <s v="L0304 - LA MAISON SUISSE"/>
    <s v="SAN JUAN"/>
    <s v="Programa Artesanía"/>
    <x v="4"/>
    <n v="4945"/>
    <n v="0"/>
    <n v="4945"/>
    <n v="0"/>
    <n v="0"/>
    <s v=""/>
    <s v=""/>
    <m/>
  </r>
  <r>
    <s v="FIE-2017-2018-IIP-0032"/>
    <s v="2018-000142"/>
    <x v="108"/>
    <d v="2017-11-16T00:00:00"/>
    <s v=""/>
    <s v="INCENT ESP"/>
    <s v="Contract"/>
    <s v="L0272"/>
    <s v="LA PALETERIA, INC."/>
    <s v="L0272 - LA PALETERIA, INC."/>
    <s v="SAN JUAN"/>
    <s v="Incentivo de Emergencias Huracanes - Generadores"/>
    <x v="3"/>
    <n v="24500"/>
    <n v="24500"/>
    <n v="0"/>
    <n v="0"/>
    <n v="0"/>
    <s v=""/>
    <s v=""/>
    <m/>
  </r>
  <r>
    <s v="FIE-2017-2018-IIP-0053"/>
    <s v="2018-000198"/>
    <x v="35"/>
    <d v="2017-12-21T00:00:00"/>
    <s v=""/>
    <s v="INCENT ESP"/>
    <s v="Contract"/>
    <s v="L0226"/>
    <s v="LA POLA, LLC"/>
    <s v="L0226 - LA POLA, LLC"/>
    <s v="SAN JUAN"/>
    <s v="Incentivo de Emergencias Huracanes - Generadores"/>
    <x v="3"/>
    <n v="18000"/>
    <n v="18000"/>
    <n v="0"/>
    <n v="0"/>
    <n v="0"/>
    <s v=""/>
    <s v=""/>
    <m/>
  </r>
  <r>
    <s v="FIE-2017-2018-IIP-0100"/>
    <s v="2018-000248"/>
    <x v="30"/>
    <d v="2017-12-29T00:00:00"/>
    <s v=""/>
    <s v="INCENT ESP"/>
    <s v="Contract"/>
    <s v="L0226"/>
    <s v="LA POLA, LLC"/>
    <s v="L0226 - LA POLA, LLC"/>
    <s v="SAN JUAN"/>
    <s v="Incentivo de Emergencias Huracanes - Generadores"/>
    <x v="3"/>
    <n v="18750"/>
    <n v="18750"/>
    <n v="0"/>
    <n v="0"/>
    <n v="0"/>
    <s v=""/>
    <s v=""/>
    <m/>
  </r>
  <r>
    <s v="FIE60-2020-2021-0080"/>
    <s v="En Proceso"/>
    <x v="31"/>
    <s v="En Proceso"/>
    <s v=""/>
    <s v="INCENT LEY 60"/>
    <s v="Assignment"/>
    <m/>
    <s v="LAB INFO, LLC"/>
    <s v="LAB INFO, LLC"/>
    <s v="SAN JUAN"/>
    <s v="Desarrollo de Software "/>
    <x v="8"/>
    <n v="20000"/>
    <n v="0"/>
    <n v="0"/>
    <n v="20000"/>
    <n v="10"/>
    <s v=""/>
    <n v="254000"/>
    <n v="1.05"/>
  </r>
  <r>
    <s v="FIE60-2020-2021-0081"/>
    <s v="En Proceso"/>
    <x v="31"/>
    <s v="En Proceso"/>
    <s v=""/>
    <s v="INCENT LEY 60"/>
    <s v="Assignment"/>
    <m/>
    <s v="LAB INFO, LLC"/>
    <s v="LAB INFO, LLC"/>
    <s v="SAN JUAN"/>
    <s v="Desarrollo de Software "/>
    <x v="9"/>
    <n v="50000"/>
    <n v="0"/>
    <n v="0"/>
    <n v="50000"/>
    <n v="0"/>
    <n v="80000"/>
    <s v=""/>
    <n v="1.05"/>
  </r>
  <r>
    <s v="FIE-2018-2019-IIP-0023"/>
    <s v="2020-000251"/>
    <x v="26"/>
    <d v="2019-11-25T00:00:00"/>
    <s v=""/>
    <s v="INCENT ESP"/>
    <s v="Contract"/>
    <s v="L0251"/>
    <s v="LABCHEMS CORP."/>
    <s v="L0251 - LABCHEMS CORP."/>
    <s v="MAYAGUEZ"/>
    <s v="Servicios de automatización, validación de procesos y control de calidad"/>
    <x v="5"/>
    <n v="15000"/>
    <n v="0"/>
    <n v="0"/>
    <n v="15000"/>
    <n v="10"/>
    <m/>
    <n v="300000"/>
    <m/>
  </r>
  <r>
    <s v="FIE-2018-2019-IIP-0024"/>
    <s v="2020-000250"/>
    <x v="26"/>
    <d v="2019-11-22T00:00:00"/>
    <s v=""/>
    <s v="INCENT ESP"/>
    <s v="Contract"/>
    <s v="L0251"/>
    <s v="LABCHEMS CORP."/>
    <s v="L0251 - LABCHEMS CORP."/>
    <s v="MAYAGUEZ"/>
    <s v="Servicios de automatización, validación de procesos y control de calidad"/>
    <x v="1"/>
    <n v="100000"/>
    <n v="0"/>
    <n v="0"/>
    <n v="100000"/>
    <n v="0"/>
    <n v="1500000"/>
    <m/>
    <m/>
  </r>
  <r>
    <s v="FIE-2017-2018-IIP-0117"/>
    <s v="En Proceso"/>
    <x v="147"/>
    <s v="En Proceso"/>
    <s v=""/>
    <s v="INCENT ESP"/>
    <s v="Assignment"/>
    <m/>
    <s v="LABELS &amp; MORE MANUFACTURING LLC "/>
    <s v="LABELS &amp; MORE MANUFACTURING LLC "/>
    <s v="ARECIBO"/>
    <s v="Manufactura"/>
    <x v="5"/>
    <n v="17250"/>
    <n v="0"/>
    <n v="0"/>
    <n v="17250"/>
    <n v="15"/>
    <n v="278655"/>
    <n v="226200"/>
    <m/>
  </r>
  <r>
    <s v="FIE-2019-2020-IIP-0081"/>
    <s v="2020-000312"/>
    <x v="148"/>
    <d v="2020-01-29T00:00:00"/>
    <s v=""/>
    <s v="INCENT ESP"/>
    <s v="Contract"/>
    <s v="L0307"/>
    <s v="LABORATORIO CLANDESTINO VIEQUENSE, INC."/>
    <s v="L0307 - LABORATORIO CLANDESTINO VIEQUENSE, INC."/>
    <s v="VIEQUES"/>
    <s v="Industria del Ron"/>
    <x v="20"/>
    <n v="100000"/>
    <n v="0"/>
    <n v="69757.09"/>
    <n v="30242.910000000003"/>
    <n v="5"/>
    <s v=""/>
    <s v=""/>
    <m/>
  </r>
  <r>
    <s v="FIE-2019-2020-IIP-0082"/>
    <s v="2020-000313"/>
    <x v="148"/>
    <d v="2020-01-29T00:00:00"/>
    <s v=""/>
    <s v="INCENT ESP"/>
    <s v="Contract"/>
    <s v="L0307"/>
    <s v="LABORATORIO CLANDESTINO VIEQUENSE, INC."/>
    <s v="L0307 - LABORATORIO CLANDESTINO VIEQUENSE, INC."/>
    <s v="VIEQUES"/>
    <s v="Industria del Ron"/>
    <x v="2"/>
    <n v="25000"/>
    <n v="0"/>
    <n v="22500"/>
    <n v="2500"/>
    <n v="0"/>
    <s v=""/>
    <s v=""/>
    <m/>
  </r>
  <r>
    <s v="FIE-2017-2018-IIP-0005"/>
    <s v="2018-000274"/>
    <x v="24"/>
    <d v="2018-01-29T00:00:00"/>
    <s v=""/>
    <s v="INCENT ESP"/>
    <s v="Contract"/>
    <s v="L0276"/>
    <s v="LABOY ACOSTA, LOURDES DEL R. "/>
    <s v="L0276 - LABOY ACOSTA, LOURDES DEL R. "/>
    <s v="SAN JUAN"/>
    <s v="Programa Artesanía"/>
    <x v="4"/>
    <n v="672.48"/>
    <n v="672.48"/>
    <n v="0"/>
    <n v="0"/>
    <n v="0"/>
    <s v=""/>
    <s v=""/>
    <m/>
  </r>
  <r>
    <s v="FIE-2018-2019-IIP-0012"/>
    <s v="2019-000292"/>
    <x v="2"/>
    <d v="2019-02-21T00:00:00"/>
    <s v=""/>
    <s v="INCENT ESP"/>
    <s v="Contract"/>
    <s v="L0092"/>
    <s v="LABOY MOCTEZUMA, ISSAC"/>
    <s v="L0092 - LABOY MOCTEZUMA, ISSAC"/>
    <s v="SAN JUAN"/>
    <s v="Programa Artesanía"/>
    <x v="4"/>
    <n v="1260"/>
    <n v="0"/>
    <n v="1260"/>
    <n v="0"/>
    <n v="0"/>
    <s v=""/>
    <s v=""/>
    <m/>
  </r>
  <r>
    <s v="FIE-2019-2020-IIP-0021"/>
    <s v="2020-000127"/>
    <x v="7"/>
    <d v="2019-08-29T00:00:00"/>
    <s v=""/>
    <s v="INCENT ESP"/>
    <s v="Contract"/>
    <s v="L0092"/>
    <s v="LABOY MOCTEZUMA, ISSAC"/>
    <s v="L0092 - LABOY MOCTEZUMA, ISSAC"/>
    <s v="SAN JUAN"/>
    <s v="Programa Artesanía"/>
    <x v="4"/>
    <n v="1260"/>
    <n v="0"/>
    <n v="1260"/>
    <n v="0"/>
    <n v="0"/>
    <s v=""/>
    <s v=""/>
    <m/>
  </r>
  <r>
    <s v="FIE-2019-2020-IIP-0021"/>
    <s v="2020-000392"/>
    <x v="7"/>
    <d v="2020-03-02T00:00:00"/>
    <s v=""/>
    <s v="INCENT ESP"/>
    <s v="Contract"/>
    <s v="L0092"/>
    <s v="LABOY MOCTEZUMA, ISSAC"/>
    <s v="L0092 - LABOY MOCTEZUMA, ISSAC"/>
    <s v="SAN JUAN"/>
    <s v="Programa Artesanía"/>
    <x v="4"/>
    <n v="1260"/>
    <n v="1260"/>
    <n v="0"/>
    <n v="0"/>
    <n v="0"/>
    <s v=""/>
    <s v=""/>
    <m/>
  </r>
  <r>
    <s v="FIE-2017-2018-IIP-0030"/>
    <s v="2018-000153"/>
    <x v="108"/>
    <d v="2017-11-29T00:00:00"/>
    <s v=""/>
    <s v="INCENT ESP"/>
    <s v="Contract"/>
    <s v="L0208"/>
    <s v="LARSEN PRODUCTS, INC."/>
    <s v="L0208 - LARSEN PRODUCTS, INC."/>
    <s v="SAN JUAN"/>
    <s v="Incentivo de Emergencias Huracanes - Generadores"/>
    <x v="3"/>
    <n v="17950"/>
    <n v="50"/>
    <n v="17900"/>
    <n v="0"/>
    <n v="0"/>
    <s v=""/>
    <s v=""/>
    <m/>
  </r>
  <r>
    <s v="FIE-2018-2019-IIP-0087"/>
    <s v="2020-000247"/>
    <x v="149"/>
    <d v="2019-11-21T00:00:00"/>
    <s v=""/>
    <s v="INCENT ESP"/>
    <s v="Contract"/>
    <s v="L0030"/>
    <s v="LASER PRODUCTS, INC"/>
    <s v="L0030 - LASER PRODUCTS, INC"/>
    <s v="JUNCOS"/>
    <s v="Cloro Liquído y Detergentes"/>
    <x v="5"/>
    <n v="33600"/>
    <n v="0"/>
    <n v="0"/>
    <n v="33600"/>
    <n v="32"/>
    <m/>
    <n v="1468219"/>
    <m/>
  </r>
  <r>
    <s v="FIE-2018-2019-IIP-0088"/>
    <s v="2020-000246"/>
    <x v="149"/>
    <d v="2019-11-21T00:00:00"/>
    <s v=""/>
    <s v="INCENT ESP"/>
    <s v="Contract"/>
    <s v="L0030"/>
    <s v="LASER PRODUCTS, INC"/>
    <s v="L0030 - LASER PRODUCTS, INC"/>
    <s v="JUNCOS"/>
    <s v="Cloro Liquído y Detergentes"/>
    <x v="2"/>
    <n v="168275"/>
    <n v="0"/>
    <n v="151447.5"/>
    <n v="16827.5"/>
    <n v="0"/>
    <n v="168275"/>
    <m/>
    <m/>
  </r>
  <r>
    <s v="FE-2019-2020-0065"/>
    <s v="2020-000462"/>
    <x v="43"/>
    <d v="2020-03-13T00:00:00"/>
    <s v="30/6/2020"/>
    <s v="INCENT FEDE"/>
    <s v="Contract"/>
    <s v="L0320"/>
    <s v="LAURA R. FONTANES GOMEZ"/>
    <s v="L0320 - LAURA R. FONTANES GOMEZ"/>
    <s v="SAN JUAN"/>
    <s v="Código de Incentivos"/>
    <x v="16"/>
    <n v="35000"/>
    <n v="335.25"/>
    <n v="22440"/>
    <n v="12224.75"/>
    <n v="0"/>
    <s v=""/>
    <s v=""/>
    <m/>
  </r>
  <r>
    <s v="FE-2019-2020-0065"/>
    <s v="2021-000091"/>
    <x v="43"/>
    <d v="2020-09-04T00:00:00"/>
    <s v=""/>
    <s v="INCENT FEDE"/>
    <s v="Contract"/>
    <s v="L0320"/>
    <s v="LAURA R. FONTANES GOMEZ"/>
    <s v="L0320 - LAURA R. FONTANES GOMEZ"/>
    <s v="SAN JUAN"/>
    <s v="Código de Incentivos"/>
    <x v="16"/>
    <n v="9500"/>
    <n v="0"/>
    <n v="0"/>
    <n v="9500"/>
    <n v="0"/>
    <s v=""/>
    <s v=""/>
    <m/>
  </r>
  <r>
    <s v="FIE-2018-2019-IIP-0013"/>
    <s v="2019-000176"/>
    <x v="2"/>
    <d v="2018-10-26T00:00:00"/>
    <s v=""/>
    <s v="INCENT ESP"/>
    <s v="Contract"/>
    <s v="L0286"/>
    <s v="LAZZU MARRERO, JOSE M."/>
    <s v="L0286 - LAZZU MARRERO, JOSE M."/>
    <s v="AGUADILLA"/>
    <s v="Programa Artesanía"/>
    <x v="4"/>
    <n v="2000"/>
    <n v="103.55"/>
    <n v="1896.45"/>
    <n v="0"/>
    <n v="0"/>
    <s v=""/>
    <s v=""/>
    <m/>
  </r>
  <r>
    <s v="FIE-2017-2018-IIP-0138"/>
    <s v="2019-000158"/>
    <x v="150"/>
    <d v="2018-10-12T00:00:00"/>
    <s v=""/>
    <s v="INCENT ESP"/>
    <s v="Contract"/>
    <s v="L0264"/>
    <s v="LECAR RADIATORS IND. COOLING SOLUTIONS, INC."/>
    <s v="L0264 - LECAR RADIATORS IND. COOLING SOLUTIONS, INC."/>
    <s v="BAYAMON"/>
    <s v="Manufactura de radiadores de automóviles"/>
    <x v="5"/>
    <n v="4000"/>
    <n v="0"/>
    <n v="0"/>
    <n v="4000"/>
    <n v="10"/>
    <n v="530000"/>
    <n v="200000"/>
    <m/>
  </r>
  <r>
    <s v="FIE-2018-2019-IIP-0012"/>
    <s v="2019-000127"/>
    <x v="2"/>
    <d v="2018-09-10T00:00:00"/>
    <s v=""/>
    <s v="INCENT ESP"/>
    <s v="Contract"/>
    <s v="L0283"/>
    <s v="LEIVA ALVAREZ, DELVIS R."/>
    <s v="L0283 - LEIVA ALVAREZ, DELVIS R."/>
    <s v="SAN JUAN"/>
    <s v="Programa Artesanía"/>
    <x v="4"/>
    <n v="1260"/>
    <n v="0"/>
    <n v="1260"/>
    <n v="0"/>
    <n v="0"/>
    <s v=""/>
    <s v=""/>
    <m/>
  </r>
  <r>
    <s v="FIE-2018-2019-IIP-0012"/>
    <s v="2019-000302"/>
    <x v="2"/>
    <d v="2019-02-21T00:00:00"/>
    <s v=""/>
    <s v="INCENT ESP"/>
    <s v="Contract"/>
    <s v="L0283"/>
    <s v="LEIVA ALVAREZ, DELVIS R."/>
    <s v="L0283 - LEIVA ALVAREZ, DELVIS R."/>
    <s v="SAN JUAN"/>
    <s v="Programa Artesanía"/>
    <x v="4"/>
    <n v="1260"/>
    <n v="0"/>
    <n v="1260"/>
    <n v="0"/>
    <n v="0"/>
    <s v=""/>
    <s v=""/>
    <m/>
  </r>
  <r>
    <s v="FE-2015-2016-0073"/>
    <s v="2017-000115"/>
    <x v="151"/>
    <d v="2016-08-12T00:00:00"/>
    <s v=""/>
    <s v="INCENT FEDE"/>
    <s v="Contract"/>
    <s v="L5930"/>
    <s v="LIFESTYLE FOOTWEAR, INC."/>
    <s v="L5930 - LIFESTYLE FOOTWEAR, INC."/>
    <s v="MOCA"/>
    <s v="Costura"/>
    <x v="5"/>
    <n v="140000"/>
    <n v="0"/>
    <n v="140000"/>
    <n v="0"/>
    <n v="56"/>
    <s v=""/>
    <s v=""/>
    <m/>
  </r>
  <r>
    <s v="FE-2016-2017-0016"/>
    <s v="2017-000271"/>
    <x v="53"/>
    <d v="2016-01-08T00:00:00"/>
    <s v="21/12/21"/>
    <s v="INCENT FEDE"/>
    <s v="Contract"/>
    <s v="L5930"/>
    <s v="LIFESTYLE FOOTWEAR, INC."/>
    <s v="L5930 - LIFESTYLE FOOTWEAR, INC."/>
    <s v="MOCA"/>
    <s v="Uniformes Militares"/>
    <x v="5"/>
    <n v="825000"/>
    <n v="80664.960000000006"/>
    <n v="744335.04"/>
    <n v="0"/>
    <n v="300"/>
    <s v=""/>
    <s v=""/>
    <m/>
  </r>
  <r>
    <s v="FIE-2016-2017-IIP-0004"/>
    <s v="2017-000215"/>
    <x v="6"/>
    <d v="2016-11-02T00:00:00"/>
    <s v=""/>
    <s v="INCENT ESP"/>
    <s v="Contract"/>
    <s v="L0260"/>
    <s v="LIND GARCIA, NADIA"/>
    <s v="L0260 - LIND GARCIA, NADIA"/>
    <s v="SAN JUAN"/>
    <s v="Programa Artesanía"/>
    <x v="4"/>
    <n v="700"/>
    <n v="0"/>
    <n v="700"/>
    <n v="0"/>
    <n v="0"/>
    <s v=""/>
    <s v=""/>
    <m/>
  </r>
  <r>
    <s v="FE-2017-2018-0017"/>
    <s v="2020-000131"/>
    <x v="64"/>
    <d v="2019-09-09T00:00:00"/>
    <d v="2025-08-09T00:00:00"/>
    <s v="INCENT FEDE"/>
    <s v="Contract"/>
    <s v="L0287"/>
    <s v="LINKACTIV NORTH AMERICA, LLC"/>
    <s v="L0287 - LINKACTIV NORTH AMERICA, LLC"/>
    <s v="CANOVANAS"/>
    <s v="Call Center"/>
    <x v="5"/>
    <n v="3853000"/>
    <n v="0"/>
    <n v="0"/>
    <n v="3853000"/>
    <n v="1700"/>
    <n v="3158601"/>
    <n v="12880000"/>
    <m/>
  </r>
  <r>
    <s v="FE-2017-2018-0018"/>
    <s v="2020-000132"/>
    <x v="64"/>
    <d v="2019-09-09T00:00:00"/>
    <d v="2024-08-09T00:00:00"/>
    <s v="INCENT FEDE"/>
    <s v="Contract"/>
    <s v="L0287"/>
    <s v="LINKACTIV NORTH AMERICA, LLC"/>
    <s v="L0287 - LINKACTIV NORTH AMERICA, LLC"/>
    <s v="CEIBA"/>
    <s v="Call Center"/>
    <x v="1"/>
    <n v="2400000"/>
    <n v="0"/>
    <n v="2343113.9"/>
    <n v="56886.100000000093"/>
    <n v="0"/>
    <n v="3480779"/>
    <n v="18400000"/>
    <m/>
  </r>
  <r>
    <s v="FIE-2017-2018-IIP-0024"/>
    <s v="2018-000133"/>
    <x v="60"/>
    <d v="2017-11-15T00:00:00"/>
    <s v=""/>
    <s v="INCENT ESP"/>
    <s v="Contract"/>
    <s v="L0270"/>
    <s v="LO DE TITA, INC."/>
    <s v="L0270 - LO DE TITA, INC."/>
    <s v="SAN JUAN"/>
    <s v="Incentivo de Emergencias Huracanes - Generadores"/>
    <x v="3"/>
    <n v="2229"/>
    <n v="2229"/>
    <n v="0"/>
    <n v="0"/>
    <n v="0"/>
    <s v=""/>
    <s v=""/>
    <m/>
  </r>
  <r>
    <s v="FE-2017-2018-0013"/>
    <s v="En Proceso"/>
    <x v="20"/>
    <s v="En Proceso"/>
    <s v=""/>
    <s v="INCENT FEDE"/>
    <s v="Assignment"/>
    <s v="L0211"/>
    <s v="LOCKHEED MARTIN GLOBAL, INC."/>
    <s v="L0211 - LOCKHEED MARTIN GLOBAL, INC."/>
    <s v="AGUADILLA"/>
    <s v="Tecnología"/>
    <x v="1"/>
    <n v="300600"/>
    <n v="0"/>
    <n v="0"/>
    <n v="300600"/>
    <n v="0"/>
    <s v=""/>
    <s v=""/>
    <m/>
  </r>
  <r>
    <s v="FE-2020-2021-0001"/>
    <s v="En Proceso"/>
    <x v="152"/>
    <s v="En Proceso"/>
    <s v=""/>
    <s v="INCENT FEDE"/>
    <s v="Assignment"/>
    <s v="L0211"/>
    <s v="LOCKHEED MARTIN GLOBAL, INC."/>
    <s v="L0211 - LOCKHEED MARTIN GLOBAL, INC."/>
    <s v="AGUADILLA"/>
    <s v="Aeroespacial"/>
    <x v="11"/>
    <n v="325000"/>
    <n v="0"/>
    <n v="241595"/>
    <n v="83405"/>
    <n v="0"/>
    <s v=""/>
    <n v="3120000"/>
    <m/>
  </r>
  <r>
    <s v="FIE-2016-2017-IIP-0004"/>
    <s v="2017-000469"/>
    <x v="6"/>
    <d v="2017-06-26T00:00:00"/>
    <s v=""/>
    <s v="INCENT ESP"/>
    <s v="Contract"/>
    <s v="L0178"/>
    <s v="LOPEZ DIAZ, ANGEL"/>
    <s v="L0178 - LOPEZ DIAZ, ANGEL"/>
    <s v="SAN JUAN"/>
    <s v="Programa Artesanía"/>
    <x v="4"/>
    <n v="1500"/>
    <n v="0"/>
    <n v="1500"/>
    <n v="0"/>
    <n v="0"/>
    <s v=""/>
    <s v=""/>
    <m/>
  </r>
  <r>
    <s v="FIE-2016-2017-IIP-0004"/>
    <s v="2017-000467"/>
    <x v="6"/>
    <d v="2017-06-26T00:00:00"/>
    <s v=""/>
    <s v="INCENT ESP"/>
    <s v="Contract"/>
    <s v="L0266"/>
    <s v="LOPEZ DIAZ, NORMA I. "/>
    <s v="L0266 - LOPEZ DIAZ, NORMA I. "/>
    <s v="SAN JUAN"/>
    <s v="Programa Artesanía"/>
    <x v="4"/>
    <n v="750"/>
    <n v="0"/>
    <n v="750"/>
    <n v="0"/>
    <n v="0"/>
    <s v=""/>
    <s v=""/>
    <m/>
  </r>
  <r>
    <s v="FIE-2016-2017-IIP-0004"/>
    <s v="2018-000073"/>
    <x v="6"/>
    <d v="2017-08-18T00:00:00"/>
    <s v=""/>
    <s v="INCENT ESP"/>
    <s v="Contract"/>
    <s v="L0080"/>
    <s v="LOPEZ ESTRELLA, GLORIA C. "/>
    <s v="L0080 - LOPEZ ESTRELLA, GLORIA C. "/>
    <s v="SAN JUAN"/>
    <s v="Programa Artesanía"/>
    <x v="4"/>
    <n v="2000"/>
    <n v="1360"/>
    <n v="640"/>
    <n v="0"/>
    <n v="0"/>
    <s v=""/>
    <s v=""/>
    <m/>
  </r>
  <r>
    <s v="FIE-2017-2018-IIP-0004"/>
    <s v="2018-000366"/>
    <x v="24"/>
    <d v="2018-05-11T00:00:00"/>
    <s v=""/>
    <s v="INCENT ESP"/>
    <s v="Contract"/>
    <s v="L0080"/>
    <s v="LOPEZ ESTRELLA, GLORIA C. "/>
    <s v="L0080 - LOPEZ ESTRELLA, GLORIA C. "/>
    <s v="SAN JUAN"/>
    <s v="Programa Artesanía"/>
    <x v="4"/>
    <n v="1360"/>
    <n v="0"/>
    <n v="1360"/>
    <n v="0"/>
    <n v="0"/>
    <s v=""/>
    <s v=""/>
    <m/>
  </r>
  <r>
    <s v="FIE-2019-2020-IIP-0021"/>
    <s v="2020-000120"/>
    <x v="7"/>
    <d v="2019-08-29T00:00:00"/>
    <s v=""/>
    <s v="INCENT ESP"/>
    <s v="Contract"/>
    <s v="L0296"/>
    <s v="LOPEZ PAGAN, NORASHLEY N."/>
    <s v="L0296 - LOPEZ PAGAN, NORASHLEY N."/>
    <s v="BARCELONETA"/>
    <s v="Programa Artesanía"/>
    <x v="4"/>
    <n v="1080"/>
    <n v="0"/>
    <n v="1080"/>
    <n v="0"/>
    <n v="0"/>
    <s v=""/>
    <s v=""/>
    <m/>
  </r>
  <r>
    <s v="FIE-2019-2020-IIP-0021"/>
    <s v="2020-000386"/>
    <x v="7"/>
    <d v="2020-03-02T00:00:00"/>
    <s v=""/>
    <s v="INCENT ESP"/>
    <s v="Contract"/>
    <s v="L0296"/>
    <s v="LOPEZ PAGAN, NORASHLEY N."/>
    <s v="L0296 - LOPEZ PAGAN, NORASHLEY N."/>
    <s v="BARCELONETA"/>
    <s v="Programa Artesanía"/>
    <x v="4"/>
    <n v="1080"/>
    <n v="1080"/>
    <n v="0"/>
    <n v="0"/>
    <n v="0"/>
    <s v=""/>
    <s v=""/>
    <m/>
  </r>
  <r>
    <s v="FIE-2019-2020-IIP-0021"/>
    <s v="2020-000279"/>
    <x v="7"/>
    <d v="2019-12-13T00:00:00"/>
    <s v=""/>
    <s v="INCENT ESP"/>
    <s v="Contract"/>
    <s v="L0303"/>
    <s v="LOPEZ RUIZ, GABRIEL"/>
    <s v="L0303 - LOPEZ RUIZ, GABRIEL"/>
    <s v="SAN JUAN"/>
    <s v="Programa Artesanía"/>
    <x v="4"/>
    <n v="100"/>
    <n v="0"/>
    <n v="100"/>
    <n v="0"/>
    <n v="0"/>
    <s v=""/>
    <s v=""/>
    <m/>
  </r>
  <r>
    <s v="FIE-2019-2020-IIP-0021"/>
    <s v="2020-000308"/>
    <x v="7"/>
    <d v="2020-01-20T00:00:00"/>
    <s v=""/>
    <s v="INCENT ESP"/>
    <s v="Contract"/>
    <s v="L0303"/>
    <s v="LOPEZ RUIZ, GABRIEL"/>
    <s v="L0303 - LOPEZ RUIZ, GABRIEL"/>
    <s v="SAN JUAN"/>
    <s v="Programa Artesanía"/>
    <x v="4"/>
    <n v="1260"/>
    <n v="1260"/>
    <n v="0"/>
    <n v="0"/>
    <n v="0"/>
    <s v=""/>
    <s v=""/>
    <m/>
  </r>
  <r>
    <s v="FIE60-2020-2021-0015"/>
    <s v="En Proceso"/>
    <x v="66"/>
    <s v="En Proceso"/>
    <s v=""/>
    <s v="INCENT LEY 60"/>
    <s v="Assignment"/>
    <s v="L0209"/>
    <s v="LORMAR OPTICAL DISTRIBUTORS, INC."/>
    <s v="L0209 - LORMAR OPTICAL DISTRIBUTORS, INC."/>
    <s v="CAGUAS"/>
    <s v="Ophtalmic Lenses"/>
    <x v="8"/>
    <n v="60000"/>
    <n v="0"/>
    <n v="0"/>
    <n v="60000"/>
    <n v="12"/>
    <m/>
    <n v="208351"/>
    <n v="0.56999999999999995"/>
  </r>
  <r>
    <s v="FIE60-2020-2021-0016"/>
    <s v="En Proceso"/>
    <x v="66"/>
    <s v="En Proceso"/>
    <s v=""/>
    <s v="INCENT LEY 60"/>
    <s v="Assignment"/>
    <s v="L0209"/>
    <s v="LORMAR OPTICAL DISTRIBUTORS, INC."/>
    <s v="L0209 - LORMAR OPTICAL DISTRIBUTORS, INC."/>
    <s v="CAGUAS"/>
    <s v="Ophtalmic Lenses"/>
    <x v="9"/>
    <n v="180000"/>
    <n v="0"/>
    <n v="0"/>
    <n v="180000"/>
    <n v="0"/>
    <n v="1745000"/>
    <m/>
    <n v="0.56999999999999995"/>
  </r>
  <r>
    <s v="FIE-2018-2019-IIP-0036"/>
    <s v="2021-000014"/>
    <x v="22"/>
    <d v="2020-07-10T00:00:00"/>
    <s v=""/>
    <s v="INCENT ESP"/>
    <s v="Contract"/>
    <s v="L0326"/>
    <s v="LOURDES PEREZ RUIZ, INC."/>
    <s v="L0326 - LOURDES PEREZ RUIZ, INC."/>
    <s v="SAN JUAN"/>
    <s v="Alimentos"/>
    <x v="10"/>
    <n v="260456"/>
    <n v="0"/>
    <n v="0"/>
    <n v="260456"/>
    <n v="0"/>
    <n v="347275"/>
    <n v="70560"/>
    <m/>
  </r>
  <r>
    <s v="FIE60-2020-2021-0087"/>
    <s v="En Proceso"/>
    <x v="31"/>
    <s v="En Proceso"/>
    <s v=""/>
    <s v="INCENT LEY 60"/>
    <s v="Assignment"/>
    <s v="L0228"/>
    <s v="LUFTHANSA TECHNIK PUERTO RICO LLC"/>
    <s v="L0228 - LUFTHANSA TECHNIK PUERTO RICO LLC"/>
    <s v="AGUADILLA"/>
    <s v="Aeroespacial"/>
    <x v="8"/>
    <n v="2500000"/>
    <n v="0"/>
    <n v="0"/>
    <n v="2500000"/>
    <n v="82"/>
    <s v=""/>
    <n v="3781718"/>
    <n v="0.49"/>
  </r>
  <r>
    <s v="FIE-2018-2019-IIP-0036"/>
    <s v="2021-000041"/>
    <x v="22"/>
    <d v="2020-08-06T00:00:00"/>
    <s v=""/>
    <s v="INCENT ESP"/>
    <s v="Contract"/>
    <s v="L0327"/>
    <s v="LUIS A. CURBELO SANTIAGO"/>
    <s v="L0327 - LUIS A. CURBELO SANTIAGO"/>
    <s v="SAN JUAN"/>
    <s v="Alimentos"/>
    <x v="10"/>
    <n v="84921"/>
    <n v="0"/>
    <n v="0"/>
    <n v="84921"/>
    <n v="0"/>
    <s v=""/>
    <s v=""/>
    <m/>
  </r>
  <r>
    <s v="FIE60-2020-2021-0082"/>
    <s v="En Proceso"/>
    <x v="31"/>
    <s v="En Proceso"/>
    <s v=""/>
    <s v="INCENT LEY 60"/>
    <s v="Assignment"/>
    <m/>
    <s v="LUIS E. ALCOVER H/N/C CAFÉ LAREÑO"/>
    <s v="LUIS E. ALCOVER H/N/C CAFÉ LAREÑO"/>
    <s v="LARES"/>
    <s v="Roasting and Grinding Coffee"/>
    <x v="8"/>
    <n v="9000"/>
    <n v="0"/>
    <n v="0"/>
    <n v="9000"/>
    <n v="3"/>
    <s v=""/>
    <n v="41760"/>
    <n v="2.98"/>
  </r>
  <r>
    <s v="FIE60-2020-2021-0083"/>
    <s v="En Proceso"/>
    <x v="31"/>
    <s v="En Proceso"/>
    <s v=""/>
    <s v="INCENT LEY 60"/>
    <s v="Assignment"/>
    <m/>
    <s v="LUIS E. ALCOVER H/N/C CAFÉ LAREÑO"/>
    <s v="LUIS E. ALCOVER H/N/C CAFÉ LAREÑO"/>
    <s v="LARES"/>
    <s v="Roasting and Grinding Coffee"/>
    <x v="9"/>
    <n v="125000"/>
    <n v="0"/>
    <n v="0"/>
    <n v="125000"/>
    <n v="0"/>
    <n v="250000"/>
    <s v=""/>
    <n v="2.98"/>
  </r>
  <r>
    <s v="FIE-2016-2017-IIP-0004"/>
    <s v="2017-000376"/>
    <x v="6"/>
    <d v="2017-03-08T00:00:00"/>
    <s v=""/>
    <s v="INCENT ESP"/>
    <s v="Contract"/>
    <s v="L6800"/>
    <s v="LUIS OMAR RENTAL"/>
    <s v="L6800 - LUIS OMAR RENTAL"/>
    <s v="SAN JUAN"/>
    <s v="Programa Artesanía"/>
    <x v="4"/>
    <n v="1350"/>
    <n v="0"/>
    <n v="1350"/>
    <n v="0"/>
    <n v="0"/>
    <s v=""/>
    <s v=""/>
    <m/>
  </r>
  <r>
    <s v="FIE-2017-2018-IIP-0004"/>
    <s v="2018-000174"/>
    <x v="24"/>
    <d v="2017-12-12T00:00:00"/>
    <s v=""/>
    <s v="INCENT ESP"/>
    <s v="Contract"/>
    <s v="L6800"/>
    <s v="LUIS OMAR RENTAL"/>
    <s v="L6800 - LUIS OMAR RENTAL"/>
    <s v="SAN JUAN"/>
    <s v="Programa Artesanía"/>
    <x v="4"/>
    <n v="850"/>
    <n v="0"/>
    <n v="850"/>
    <n v="0"/>
    <n v="0"/>
    <s v=""/>
    <s v=""/>
    <m/>
  </r>
  <r>
    <s v="FIE-2017-2018-IIP-0004"/>
    <s v="2018-000280"/>
    <x v="24"/>
    <d v="2018-02-05T00:00:00"/>
    <s v=""/>
    <s v="INCENT ESP"/>
    <s v="Contract"/>
    <s v="L6800"/>
    <s v="LUIS OMAR RENTAL"/>
    <s v="L6800 - LUIS OMAR RENTAL"/>
    <s v="SAN JUAN"/>
    <s v="Programa Artesanía"/>
    <x v="4"/>
    <n v="600"/>
    <n v="0"/>
    <n v="600"/>
    <n v="0"/>
    <n v="0"/>
    <s v=""/>
    <s v=""/>
    <m/>
  </r>
  <r>
    <s v="FIE-2018-2019-IIP-0012"/>
    <s v="2019-000355"/>
    <x v="2"/>
    <d v="2019-03-19T00:00:00"/>
    <s v=""/>
    <s v="INCENT ESP"/>
    <s v="Contract"/>
    <s v="L6800"/>
    <s v="LUIS OMAR RENTAL"/>
    <s v="L6800 - LUIS OMAR RENTAL"/>
    <s v="SAN JUAN"/>
    <s v="Programa Artesanía"/>
    <x v="4"/>
    <n v="1900"/>
    <n v="0"/>
    <n v="1900"/>
    <n v="0"/>
    <n v="0"/>
    <s v=""/>
    <s v=""/>
    <m/>
  </r>
  <r>
    <s v="FE-2017-2018-0040"/>
    <s v="2019-000352"/>
    <x v="103"/>
    <d v="2019-03-19T00:00:00"/>
    <s v="18/9/2022"/>
    <s v="INCENT FEDE"/>
    <s v="Contract"/>
    <s v="M0603"/>
    <s v="M M MANUFACTURING, LLC"/>
    <s v="M0603 - M M MANUFACTURING, LLC"/>
    <s v="SAN JUAN"/>
    <s v="Costura"/>
    <x v="5"/>
    <n v="102000"/>
    <n v="0"/>
    <n v="0"/>
    <n v="102000"/>
    <n v="51"/>
    <n v="211060"/>
    <n v="3953458.8"/>
    <m/>
  </r>
  <r>
    <s v="FE-2017-2018-0038"/>
    <s v="En Proceso"/>
    <x v="103"/>
    <s v="En Proceso"/>
    <s v=""/>
    <s v="INCENT FEDE"/>
    <s v="Assignment"/>
    <s v="M0603"/>
    <s v="M M MANUFACTURING, LLC"/>
    <s v="M0603 - M M MANUFACTURING, LLC"/>
    <s v="SAN JUAN"/>
    <s v="Costura"/>
    <x v="5"/>
    <n v="52000"/>
    <n v="0"/>
    <n v="0"/>
    <n v="52000"/>
    <n v="26"/>
    <m/>
    <n v="4111597"/>
    <m/>
  </r>
  <r>
    <s v="FE-2017-2018-0039"/>
    <s v="En Proceso"/>
    <x v="103"/>
    <s v="En Proceso"/>
    <s v=""/>
    <s v="INCENT FEDE"/>
    <s v="Assignment"/>
    <s v="M0603"/>
    <s v="M M MANUFACTURING, LLC"/>
    <s v="M0603 - M M MANUFACTURING, LLC"/>
    <s v="SAN JUAN"/>
    <s v="Costura"/>
    <x v="5"/>
    <n v="96000"/>
    <n v="0"/>
    <n v="0"/>
    <n v="96000"/>
    <n v="48"/>
    <m/>
    <n v="7590640.9000000004"/>
    <m/>
  </r>
  <r>
    <s v="FIE-2017-2018-IIP-0135"/>
    <s v="En Proceso"/>
    <x v="36"/>
    <s v="En Proceso"/>
    <s v=""/>
    <s v="INCENT ESP"/>
    <s v="Assignment"/>
    <m/>
    <s v="MADE IN PR"/>
    <s v="MADE IN PR"/>
    <s v="SAN JUAN"/>
    <s v="Alimentos"/>
    <x v="5"/>
    <n v="1000"/>
    <n v="0"/>
    <n v="0"/>
    <n v="1000"/>
    <n v="2"/>
    <n v="100000"/>
    <n v="36000"/>
    <m/>
  </r>
  <r>
    <s v="FIE-2016-2017-IIP-0004"/>
    <s v="2017-000409"/>
    <x v="6"/>
    <d v="2017-04-18T00:00:00"/>
    <s v=""/>
    <s v="INCENT ESP"/>
    <s v="Contract"/>
    <s v="M0599"/>
    <s v="MADELINE  BELLIARD ZAYAS"/>
    <s v="M0599 - MADELINE  BELLIARD ZAYAS"/>
    <s v="SAN JUAN"/>
    <s v="Programa Artesanía"/>
    <x v="4"/>
    <n v="750"/>
    <n v="0"/>
    <n v="750"/>
    <n v="0"/>
    <n v="0"/>
    <s v=""/>
    <s v=""/>
    <m/>
  </r>
  <r>
    <s v="FE-2018-2019-0010"/>
    <s v="2019-000237"/>
    <x v="2"/>
    <d v="2019-01-02T00:00:00"/>
    <s v="30/6/2019"/>
    <s v="INCENT FEDE"/>
    <s v="Contract"/>
    <s v="M0710"/>
    <s v="MAKAI OCEAN ENGINEERING, INC."/>
    <s v="M0710 - MAKAI OCEAN ENGINEERING, INC."/>
    <s v="SAN JUAN"/>
    <s v="PROTECH"/>
    <x v="16"/>
    <n v="198990"/>
    <n v="9150"/>
    <n v="30000"/>
    <n v="159840"/>
    <n v="0"/>
    <s v=""/>
    <s v=""/>
    <m/>
  </r>
  <r>
    <s v="FIE-2016-2017-IIP-0004"/>
    <s v="2017-000360"/>
    <x v="6"/>
    <d v="2017-02-22T00:00:00"/>
    <s v=""/>
    <s v="INCENT ESP"/>
    <s v="Contract"/>
    <s v="M0213"/>
    <s v="MALDONADO MEJIAS, SARAH"/>
    <s v="M0213 - MALDONADO MEJIAS, SARAH"/>
    <s v="SAN JUAN"/>
    <s v="Programa Artesanía"/>
    <x v="4"/>
    <n v="1080"/>
    <n v="0"/>
    <n v="1080"/>
    <n v="0"/>
    <n v="0"/>
    <s v=""/>
    <s v=""/>
    <m/>
  </r>
  <r>
    <s v="FIE-2016-2017-IIP-0005"/>
    <s v="2017-000427"/>
    <x v="6"/>
    <d v="2017-05-02T00:00:00"/>
    <s v=""/>
    <s v="INCENT ESP"/>
    <s v="Contract"/>
    <s v="M0519"/>
    <s v="MALDONADO RODRIGUEZ, ROBERTO"/>
    <s v="M0519 - MALDONADO RODRIGUEZ, ROBERTO"/>
    <s v="SAN JUAN"/>
    <s v="Programa Artesanía"/>
    <x v="4"/>
    <n v="985.99"/>
    <n v="0"/>
    <n v="985.99"/>
    <n v="0"/>
    <n v="0"/>
    <s v=""/>
    <s v=""/>
    <m/>
  </r>
  <r>
    <s v="FIE-2017-2018-IIP-0008"/>
    <s v="2018-000272-A"/>
    <x v="24"/>
    <d v="2019-06-19T00:00:00"/>
    <s v=""/>
    <s v="INCENT ESP"/>
    <s v="Contract"/>
    <s v="M0199"/>
    <s v="MAREY HEATER CORPORATION"/>
    <s v="M0199 - MAREY HEATER CORPORATION"/>
    <s v="SAN JUAN"/>
    <s v="Manufactura"/>
    <x v="0"/>
    <n v="50000"/>
    <n v="15855.6"/>
    <n v="34144.400000000001"/>
    <n v="0"/>
    <n v="0"/>
    <s v=""/>
    <s v=""/>
    <m/>
  </r>
  <r>
    <s v="FIE-2017-2018-IIP-0038"/>
    <s v="2018-000185"/>
    <x v="121"/>
    <d v="2017-12-21T00:00:00"/>
    <s v=""/>
    <s v="INCENT ESP"/>
    <s v="Contract"/>
    <s v="M0199"/>
    <s v="MAREY HEATER CORPORATION"/>
    <s v="M0199 - MAREY HEATER CORPORATION"/>
    <s v="SAN JUAN"/>
    <s v="Incentivo de Emergencias Huracanes - Generadores"/>
    <x v="3"/>
    <n v="25000"/>
    <n v="0"/>
    <n v="25000"/>
    <n v="0"/>
    <n v="0"/>
    <s v=""/>
    <s v=""/>
    <m/>
  </r>
  <r>
    <s v="FIE-2016-2017-IIP-0005"/>
    <s v="2017-000320"/>
    <x v="6"/>
    <d v="2017-01-27T00:00:00"/>
    <s v=""/>
    <s v="INCENT ESP"/>
    <s v="Contract"/>
    <s v="M0191"/>
    <s v="MARILUZ CORTES TORRES"/>
    <s v="M0191 - MARILUZ CORTES TORRES"/>
    <s v="SAN JUAN"/>
    <s v="Programa Artesanía"/>
    <x v="4"/>
    <n v="1000"/>
    <n v="337.91"/>
    <n v="662.09"/>
    <n v="0"/>
    <n v="0"/>
    <s v=""/>
    <s v=""/>
    <m/>
  </r>
  <r>
    <s v="FIE-2018-2019-IIP-0013"/>
    <s v="2019-000381"/>
    <x v="2"/>
    <d v="2019-04-03T00:00:00"/>
    <s v=""/>
    <s v="INCENT ESP"/>
    <s v="Contract"/>
    <s v="M0191"/>
    <s v="MARILUZ CORTES TORRES"/>
    <s v="M0191 - MARILUZ CORTES TORRES"/>
    <s v="SAN JUAN"/>
    <s v="Programa Artesanía"/>
    <x v="4"/>
    <n v="712.39"/>
    <n v="21.3"/>
    <n v="691.09"/>
    <n v="0"/>
    <n v="0"/>
    <s v=""/>
    <s v=""/>
    <m/>
  </r>
  <r>
    <s v="FIE-2016-2017-IEE-0017"/>
    <s v="2016-000627-B"/>
    <x v="44"/>
    <d v="2016-09-13T00:00:00"/>
    <s v=""/>
    <s v="INCENT ESP"/>
    <s v="Contract"/>
    <s v="M2750"/>
    <s v="MARISTELLA, INC."/>
    <s v="M2750 - MARISTELLA, INC."/>
    <s v="CIDRA"/>
    <s v="Muebles"/>
    <x v="6"/>
    <n v="4876"/>
    <n v="90"/>
    <n v="4786"/>
    <n v="0"/>
    <n v="0"/>
    <s v=""/>
    <s v=""/>
    <m/>
  </r>
  <r>
    <s v="FIE-2016-2017-IEE-0047"/>
    <s v="2017-000627-C"/>
    <x v="10"/>
    <d v="2017-01-27T00:00:00"/>
    <s v=""/>
    <s v="INCENT ESP"/>
    <s v="Contract"/>
    <s v="M2750"/>
    <s v="MARISTELLA, INC."/>
    <s v="M2750 - MARISTELLA, INC."/>
    <s v="CIDRA"/>
    <s v="Muebles"/>
    <x v="6"/>
    <n v="3782"/>
    <n v="0"/>
    <n v="3782"/>
    <n v="0"/>
    <n v="0"/>
    <s v=""/>
    <s v=""/>
    <m/>
  </r>
  <r>
    <s v="FIE-2017-2018-IEE-0126"/>
    <s v="En Proceso"/>
    <x v="11"/>
    <s v="En Proceso"/>
    <s v=""/>
    <s v="INCENT ESP"/>
    <s v="Assignment"/>
    <s v="M2750"/>
    <s v="MARISTELLA, INC."/>
    <s v="M2750 - MARISTELLA, INC."/>
    <s v="CIDRA"/>
    <s v="Muebles"/>
    <x v="6"/>
    <n v="16983"/>
    <n v="16983"/>
    <n v="0"/>
    <n v="0"/>
    <n v="0"/>
    <s v=""/>
    <s v=""/>
    <m/>
  </r>
  <r>
    <s v="FIE-2016-2017-IIP-0004"/>
    <s v="2017-000370"/>
    <x v="6"/>
    <d v="2017-02-22T00:00:00"/>
    <s v=""/>
    <s v="INCENT ESP"/>
    <s v="Contract"/>
    <s v="M0598"/>
    <s v="MARRERO RIVERA, ANGELITA"/>
    <s v="M0598 - MARRERO RIVERA, ANGELITA"/>
    <s v="SAN JUAN"/>
    <s v="Programa Artesanía"/>
    <x v="4"/>
    <n v="1080"/>
    <n v="0"/>
    <n v="1080"/>
    <n v="0"/>
    <n v="0"/>
    <s v=""/>
    <s v=""/>
    <m/>
  </r>
  <r>
    <s v="FIE-2018-2019-IIP-0012"/>
    <s v="2019-000370"/>
    <x v="2"/>
    <d v="2019-03-20T00:00:00"/>
    <s v=""/>
    <s v="INCENT ESP"/>
    <s v="Contract"/>
    <s v="M0693"/>
    <s v="MARTINEZ BARRIOS, ABDIEL "/>
    <s v="M0693 - MARTINEZ BARRIOS, ABDIEL "/>
    <s v="SAN JUAN"/>
    <s v="Programa Artesanía"/>
    <x v="4"/>
    <n v="2085"/>
    <n v="244.1"/>
    <n v="1840.9"/>
    <n v="0"/>
    <n v="0"/>
    <s v=""/>
    <s v=""/>
    <m/>
  </r>
  <r>
    <s v="FIE-2016-2017-IIP-0004"/>
    <s v="2017-000387"/>
    <x v="6"/>
    <d v="2017-03-28T00:00:00"/>
    <s v=""/>
    <s v="INCENT ESP"/>
    <s v="Contract"/>
    <s v="M0649"/>
    <s v="MARTINEZ TULL, EDUARDO"/>
    <s v="M0649 - MARTINEZ TULL, EDUARDO"/>
    <s v="SAN JUAN"/>
    <s v="Programa Artesanía"/>
    <x v="4"/>
    <n v="150"/>
    <n v="0"/>
    <n v="150"/>
    <n v="0"/>
    <n v="0"/>
    <s v=""/>
    <s v=""/>
    <m/>
  </r>
  <r>
    <s v="FIE-2017-2018-IIP-0094"/>
    <s v="2018-000229"/>
    <x v="63"/>
    <d v="2017-12-29T00:00:00"/>
    <s v=""/>
    <s v="INCENT ESP"/>
    <s v="Contract"/>
    <s v="M0672"/>
    <s v="MARTY ROSARIO, SANDRA HNC "/>
    <s v="M0672 - MARTY ROSARIO, SANDRA HNC "/>
    <s v="SAN JUAN"/>
    <s v="Incentivo de Emergencias Huracanes - Generadores"/>
    <x v="3"/>
    <n v="12295"/>
    <n v="1400"/>
    <n v="10895"/>
    <n v="0"/>
    <n v="0"/>
    <s v=""/>
    <s v=""/>
    <m/>
  </r>
  <r>
    <s v="FE-2018-2019-0094"/>
    <s v="2020-000167"/>
    <x v="139"/>
    <d v="2019-10-07T00:00:00"/>
    <d v="2024-06-10T00:00:00"/>
    <s v="INCENT FEDE"/>
    <s v="Contract"/>
    <s v="M0705"/>
    <s v="MARVEL INTERNATIONAL, INC."/>
    <s v="M0705 - MARVEL INTERNATIONAL, INC."/>
    <s v="GUAYNABO"/>
    <s v="HAMBURGUESAS, ESPECIES, SOPAS Y SOFRITOS           "/>
    <x v="5"/>
    <n v="56000"/>
    <n v="0"/>
    <n v="0"/>
    <n v="56000"/>
    <n v="11"/>
    <m/>
    <n v="165800"/>
    <m/>
  </r>
  <r>
    <s v="FE-2018-2019-0095"/>
    <s v="2020-000166"/>
    <x v="139"/>
    <d v="2019-10-07T00:00:00"/>
    <d v="2024-06-10T00:00:00"/>
    <s v="INCENT FEDE"/>
    <s v="Contract"/>
    <s v="M0705"/>
    <s v="MARVEL INTERNATIONAL, INC."/>
    <s v="M0705 - MARVEL INTERNATIONAL, INC."/>
    <s v="GUAYNABO"/>
    <s v="HAMBURGUESAS, ESPECIES, SOPAS Y SOFRITOS           "/>
    <x v="2"/>
    <n v="220000"/>
    <n v="0"/>
    <n v="0"/>
    <n v="220000"/>
    <n v="0"/>
    <n v="440129"/>
    <m/>
    <m/>
  </r>
  <r>
    <s v="FE-2018-2019-0043"/>
    <s v="2019-000392"/>
    <x v="22"/>
    <d v="2019-04-10T00:00:00"/>
    <d v="2024-08-04T00:00:00"/>
    <s v="INCENT FEDE"/>
    <s v="Contract"/>
    <s v="M0694"/>
    <s v="MASTER BLOCK AND PAVER, LLC"/>
    <s v="M0694 - MASTER BLOCK AND PAVER, LLC"/>
    <s v="TOA BAJA"/>
    <s v="Bloques y adoquines"/>
    <x v="2"/>
    <n v="445063"/>
    <n v="0"/>
    <n v="0"/>
    <n v="445063"/>
    <n v="10"/>
    <s v=""/>
    <s v=""/>
    <m/>
  </r>
  <r>
    <s v="FIE-2017-2018-IIP-0104"/>
    <s v="2018-000291"/>
    <x v="153"/>
    <d v="2018-02-22T00:00:00"/>
    <s v=""/>
    <s v="INCENT ESP"/>
    <s v="Contract"/>
    <s v="M0674"/>
    <s v="MASTER BLOCK AND PAVERS, LLC"/>
    <s v="M0674 - MASTER BLOCK AND PAVERS, LLC"/>
    <s v="VEGA BAJA"/>
    <s v="Bloques y adoquines"/>
    <x v="5"/>
    <n v="33745"/>
    <n v="0"/>
    <n v="33745"/>
    <n v="0"/>
    <n v="0"/>
    <n v="150000"/>
    <n v="406737"/>
    <m/>
  </r>
  <r>
    <s v="FIE-2017-2018-IIP-0079"/>
    <s v="2018-000226"/>
    <x v="110"/>
    <d v="2017-12-28T00:00:00"/>
    <s v=""/>
    <s v="INCENT ESP"/>
    <s v="Contract"/>
    <s v="M0674"/>
    <s v="MASTER BLOCK AND PAVERS, LLC"/>
    <s v="M0674 - MASTER BLOCK AND PAVERS, LLC"/>
    <s v="VEGA BAJA"/>
    <s v="Incentivo de Emergencias Huracanes - Generadores"/>
    <x v="3"/>
    <n v="25000"/>
    <n v="0"/>
    <n v="25000"/>
    <n v="0"/>
    <n v="0"/>
    <s v=""/>
    <s v=""/>
    <m/>
  </r>
  <r>
    <s v="FIE-2016-2017-IIP-0036"/>
    <s v="2017-000337"/>
    <x v="0"/>
    <d v="2017-02-13T00:00:00"/>
    <s v=""/>
    <s v="INCENT ESP"/>
    <s v="Contract"/>
    <s v="M3007"/>
    <s v="MASTER PAINTS &amp; CHEMICAL CORP."/>
    <s v="M3007 - MASTER PAINTS &amp; CHEMICAL CORP."/>
    <s v="GUAYANILLA"/>
    <s v="PAINTS AND OTHERS PRODUCTS                                                      "/>
    <x v="0"/>
    <n v="50000"/>
    <n v="0"/>
    <n v="50000"/>
    <n v="0"/>
    <n v="0"/>
    <s v=""/>
    <s v=""/>
    <m/>
  </r>
  <r>
    <s v="FIE-2016-2017-IIP-0034"/>
    <s v="2017-000264"/>
    <x v="154"/>
    <d v="2016-12-19T00:00:00"/>
    <s v=""/>
    <s v="INCENT ESP"/>
    <s v="Contract"/>
    <s v="M3007"/>
    <s v="MASTER PAINTS &amp; CHEMICAL CORP."/>
    <s v="M3007 - MASTER PAINTS &amp; CHEMICAL CORP."/>
    <s v="GUAYANILLA"/>
    <s v="PAINTS AND OTHERS PRODUCTS                                                      "/>
    <x v="5"/>
    <n v="34170"/>
    <n v="0"/>
    <n v="34170"/>
    <n v="0"/>
    <n v="0"/>
    <s v=""/>
    <s v=""/>
    <m/>
  </r>
  <r>
    <s v="FIE-2016-2017-IIP-0033"/>
    <s v="2017-000265"/>
    <x v="132"/>
    <d v="2016-12-19T00:00:00"/>
    <s v=""/>
    <s v="INCENT ESP"/>
    <s v="Contract"/>
    <s v="M3007"/>
    <s v="MASTER PAINTS &amp; CHEMICAL CORP."/>
    <s v="M3007 - MASTER PAINTS &amp; CHEMICAL CORP."/>
    <s v="GUAYANILLA"/>
    <s v="PAINTS AND OTHERS PRODUCTS                                                      "/>
    <x v="5"/>
    <n v="19257"/>
    <n v="0"/>
    <n v="19257"/>
    <n v="0"/>
    <n v="21"/>
    <s v=""/>
    <s v=""/>
    <m/>
  </r>
  <r>
    <s v="FE-2018-2019-0041"/>
    <s v="2019-000391"/>
    <x v="22"/>
    <d v="2019-04-10T00:00:00"/>
    <d v="2024-08-04T00:00:00"/>
    <s v="INCENT FEDE"/>
    <s v="Contract"/>
    <s v="M0488"/>
    <s v="MASTER PAINTS &amp; CHEMICAL CORP."/>
    <s v="M0488 - MASTER PAINTS &amp; CHEMICAL CORP."/>
    <s v="GUAYANILLA"/>
    <s v="PAINTS AND OTHERS PRODUCTS                                                      "/>
    <x v="2"/>
    <n v="888479"/>
    <n v="0"/>
    <n v="0"/>
    <n v="888479"/>
    <n v="0"/>
    <s v="Check"/>
    <s v="Check"/>
    <m/>
  </r>
  <r>
    <s v="FIE-2016-2017-IIP-0036"/>
    <s v="2017-000338"/>
    <x v="0"/>
    <d v="2017-02-13T00:00:00"/>
    <s v=""/>
    <s v="INCENT ESP"/>
    <s v="Contract"/>
    <s v="M3015"/>
    <s v="MASTER PRODUCTS CORP."/>
    <s v="M3015 - MASTER PRODUCTS CORP."/>
    <s v="SAN JUAN"/>
    <s v="MANUFACTURA Y DISTRIBUCION DE PRODUCTOS EN CEMENTO"/>
    <x v="0"/>
    <n v="50000"/>
    <n v="3183.42"/>
    <n v="46816.58"/>
    <n v="0"/>
    <n v="0"/>
    <s v=""/>
    <s v=""/>
    <m/>
  </r>
  <r>
    <s v="FIE-2016-2017-IIP-0037"/>
    <s v="2017-000339"/>
    <x v="0"/>
    <d v="2017-02-08T00:00:00"/>
    <s v=""/>
    <s v="INCENT ESP"/>
    <s v="Contract"/>
    <s v="M3015"/>
    <s v="MASTER PRODUCTS CORP."/>
    <s v="M3015 - MASTER PRODUCTS CORP."/>
    <s v="SAN JUAN"/>
    <s v="MANUFACTURA Y DISTRIBUCION DE PRODUCTOS EN CEMENTO"/>
    <x v="0"/>
    <n v="23800"/>
    <n v="20141"/>
    <n v="3659"/>
    <n v="0"/>
    <n v="0"/>
    <s v=""/>
    <s v=""/>
    <m/>
  </r>
  <r>
    <s v="FE-2018-2019-0042"/>
    <s v="2019-000393"/>
    <x v="22"/>
    <d v="2019-04-10T00:00:00"/>
    <d v="2024-08-04T00:00:00"/>
    <s v="INCENT FEDE"/>
    <s v="Contract"/>
    <s v="M0695"/>
    <s v="MASTER PRODUCTS CORP."/>
    <s v="M0695 - MASTER PRODUCTS CORP."/>
    <s v="VEGA BAJA"/>
    <s v="MANUFACTURA Y DISTRIBUCION DE PRODUCTOS EN CEMENTO"/>
    <x v="2"/>
    <n v="431029"/>
    <n v="0"/>
    <n v="0"/>
    <n v="431029"/>
    <n v="0"/>
    <s v=""/>
    <s v=""/>
    <m/>
  </r>
  <r>
    <s v="FIE-2017-2018-IIP-0062"/>
    <s v="2018-000227"/>
    <x v="155"/>
    <d v="2017-12-29T00:00:00"/>
    <s v=""/>
    <s v="INCENT ESP"/>
    <s v="Contract"/>
    <s v="M0673"/>
    <s v="MATI APPLICATION SOLUTIONS LLC"/>
    <s v="M0673 - MATI APPLICATION SOLUTIONS LLC"/>
    <s v="SAN JUAN"/>
    <s v="Incentivo de Emergencias Huracanes - Generadores"/>
    <x v="3"/>
    <n v="14100"/>
    <n v="0"/>
    <n v="14100"/>
    <n v="0"/>
    <n v="0"/>
    <s v=""/>
    <s v=""/>
    <m/>
  </r>
  <r>
    <s v="FIE-2016-2017-IIP-0032"/>
    <s v="2017-000266"/>
    <x v="156"/>
    <d v="2016-12-19T00:00:00"/>
    <s v=""/>
    <s v="INCENT ESP"/>
    <s v="Contract"/>
    <s v="M0626"/>
    <s v="MAXIMO SOLAR INDUSTRIES"/>
    <s v="M0626 - MAXIMO SOLAR INDUSTRIES"/>
    <s v="SAN JUAN"/>
    <s v="Manufactura"/>
    <x v="5"/>
    <n v="26500"/>
    <n v="0"/>
    <n v="26500"/>
    <n v="0"/>
    <n v="40"/>
    <s v=""/>
    <s v=""/>
    <m/>
  </r>
  <r>
    <s v="FIE-2016-2017-IIP-0004"/>
    <s v="2017-000183"/>
    <x v="6"/>
    <d v="2016-09-22T00:00:00"/>
    <s v=""/>
    <s v="INCENT ESP"/>
    <s v="Contract"/>
    <s v="M0470"/>
    <s v="MAYSONET VAZQUEZ, FELIX "/>
    <s v="M0470 - MAYSONET VAZQUEZ, FELIX "/>
    <s v="SAN JUAN"/>
    <s v="Programa Artesanía"/>
    <x v="4"/>
    <n v="1080"/>
    <n v="0"/>
    <n v="1080"/>
    <n v="0"/>
    <n v="0"/>
    <s v=""/>
    <s v=""/>
    <m/>
  </r>
  <r>
    <s v="FE-2017-2018-0014"/>
    <s v="En Proceso"/>
    <x v="64"/>
    <s v="En Proceso"/>
    <s v=""/>
    <s v="INCENT FEDE"/>
    <s v="Assignment"/>
    <m/>
    <s v="MB SPORT INC."/>
    <s v="MB SPORT INC."/>
    <s v="SAN JUAN"/>
    <s v="AUSPICIO"/>
    <x v="0"/>
    <n v="400000"/>
    <n v="0"/>
    <n v="400000"/>
    <n v="0"/>
    <n v="0"/>
    <s v=""/>
    <s v=""/>
    <m/>
  </r>
  <r>
    <s v="FIE-2018-2019-IIP-0030"/>
    <s v="2019-000345"/>
    <x v="20"/>
    <d v="2019-03-08T00:00:00"/>
    <s v=""/>
    <s v="INCENT ESP"/>
    <s v="Contract"/>
    <s v="M0690"/>
    <s v="MBQ PHARMA, INC."/>
    <s v="M0690 - MBQ PHARMA, INC."/>
    <s v="SAN JUAN"/>
    <s v="Farmaceútica"/>
    <x v="7"/>
    <n v="100000"/>
    <n v="0"/>
    <n v="100000"/>
    <n v="0"/>
    <n v="0"/>
    <s v=""/>
    <s v=""/>
    <m/>
  </r>
  <r>
    <s v="FIE60-2020-2021-0035"/>
    <s v="En Proceso"/>
    <x v="39"/>
    <s v="En Proceso"/>
    <s v=""/>
    <s v="INCENT LEY 60"/>
    <s v="Assignment"/>
    <m/>
    <s v="MCNEIL CONSUMER HEALTHCARE, INC."/>
    <s v="MCNEIL CONSUMER HEALTHCARE, INC."/>
    <s v="LAS PIEDRAS"/>
    <s v="TYLENOL TABLETS   Pharmaceutical Preparations                                                    "/>
    <x v="8"/>
    <n v="2680000"/>
    <n v="0"/>
    <n v="0"/>
    <n v="2680000"/>
    <n v="536"/>
    <m/>
    <n v="49800000"/>
    <n v="0.42"/>
  </r>
  <r>
    <s v="FIE60-2020-2021-0042"/>
    <s v="En Proceso"/>
    <x v="39"/>
    <s v="En Proceso"/>
    <s v=""/>
    <s v="INCENT LEY 60"/>
    <s v="Assignment"/>
    <m/>
    <s v="MCNEIL CONSUMER HEALTHCARE, INC."/>
    <s v="MCNEIL CONSUMER HEALTHCARE, INC."/>
    <s v="LAS PIEDRAS"/>
    <s v="TYLENOL TABLETS   Pharmaceutical Preparations                                                    "/>
    <x v="11"/>
    <n v="6000000"/>
    <n v="0"/>
    <n v="0"/>
    <n v="6000000"/>
    <n v="0"/>
    <m/>
    <m/>
    <n v="0.42"/>
  </r>
  <r>
    <s v="FIE60-2020-2021-0043"/>
    <s v="En Proceso"/>
    <x v="39"/>
    <s v="En Proceso"/>
    <s v=""/>
    <s v="INCENT LEY 60"/>
    <s v="Assignment"/>
    <m/>
    <s v="MCNEIL CONSUMER HEALTHCARE, INC."/>
    <s v="MCNEIL CONSUMER HEALTHCARE, INC."/>
    <s v="LAS PIEDRAS"/>
    <s v="TYLENOL TABLETS   Pharmaceutical Preparations                                                    "/>
    <x v="9"/>
    <n v="8100000"/>
    <n v="0"/>
    <n v="0"/>
    <n v="8100000"/>
    <n v="0"/>
    <n v="31400000"/>
    <m/>
    <n v="0.42"/>
  </r>
  <r>
    <s v="FIE-2019-2020-IIP-0086"/>
    <s v="En Proceso"/>
    <x v="49"/>
    <s v="En Proceso"/>
    <s v=""/>
    <s v="INCENT ESP"/>
    <s v="Assignment"/>
    <m/>
    <s v="MDF INSTRUMENTS CRAFTECH LLC"/>
    <s v="MDF INSTRUMENTS CRAFTECH LLC"/>
    <s v="DORADO"/>
    <s v="Manufactura  de instrumentos quirúrgicos y médicos"/>
    <x v="5"/>
    <n v="36000"/>
    <n v="0"/>
    <n v="0"/>
    <n v="36000"/>
    <n v="12"/>
    <m/>
    <n v="760000"/>
    <m/>
  </r>
  <r>
    <s v="FIE-2019-2020-IIP-0085"/>
    <s v="En Proceso"/>
    <x v="49"/>
    <s v="En Proceso"/>
    <s v=""/>
    <s v="INCENT ESP"/>
    <s v="Assignment"/>
    <m/>
    <s v="MDF INSTRUMENTS CRAFTECH LLC"/>
    <s v="MDF INSTRUMENTS CRAFTECH LLC"/>
    <s v="DORADO"/>
    <s v="Manufactura  de instrumentos quirúrgicos y médicos"/>
    <x v="2"/>
    <n v="200000"/>
    <n v="0"/>
    <n v="0"/>
    <n v="200000"/>
    <n v="0"/>
    <n v="347000"/>
    <m/>
    <m/>
  </r>
  <r>
    <s v="FIE-2017-2018-IIP-0133"/>
    <s v="2019-000202"/>
    <x v="157"/>
    <d v="2018-12-03T00:00:00"/>
    <s v=""/>
    <s v="INCENT ESP"/>
    <s v="Contract"/>
    <s v="M0687"/>
    <s v="MEDICAL BILLING SERVICES OF PR, INC."/>
    <s v="M0687 - MEDICAL BILLING SERVICES OF PR, INC."/>
    <s v="SAN JUAN"/>
    <s v="Exportación de Servicios - &quot;Business Process Outsourcing&quot; (BPO) - Health Services"/>
    <x v="5"/>
    <n v="224000"/>
    <n v="0"/>
    <n v="8400"/>
    <n v="215600"/>
    <n v="112"/>
    <n v="200075"/>
    <n v="5295808"/>
    <m/>
  </r>
  <r>
    <s v="FIE-2017-2018-IIP-0004"/>
    <s v="2018-000353"/>
    <x v="24"/>
    <d v="2018-04-13T00:00:00"/>
    <s v=""/>
    <s v="INCENT ESP"/>
    <s v="Contract"/>
    <s v="M0680"/>
    <s v="MEDINA CRUZ, MARIA"/>
    <s v="M0680 - MEDINA CRUZ, MARIA"/>
    <s v="SAN JUAN"/>
    <s v="Programa Artesanía"/>
    <x v="4"/>
    <n v="150"/>
    <n v="0"/>
    <n v="150"/>
    <n v="0"/>
    <n v="0"/>
    <s v=""/>
    <s v=""/>
    <m/>
  </r>
  <r>
    <s v="FE-2018-2019-0001"/>
    <s v="2019-000400"/>
    <x v="48"/>
    <d v="2019-04-07T00:00:00"/>
    <s v="16/4/2024"/>
    <s v="INCENT FEDE"/>
    <s v="Contract"/>
    <s v="M0547"/>
    <s v="MEDTRONICS PUERTO RICO OPERATIONS CO."/>
    <s v="M0547 - MEDTRONICS PUERTO RICO OPERATIONS CO."/>
    <s v="JUNCOS"/>
    <s v="Alimentos"/>
    <x v="5"/>
    <n v="1500000"/>
    <n v="0"/>
    <n v="0"/>
    <n v="1500000"/>
    <n v="300"/>
    <m/>
    <n v="11500000"/>
    <m/>
  </r>
  <r>
    <s v="FE-2018-2019-0002"/>
    <s v="2019-000399"/>
    <x v="48"/>
    <d v="2019-04-17T00:00:00"/>
    <s v="16/4/2024"/>
    <s v="INCENT FEDE"/>
    <s v="Contract"/>
    <s v="M0547"/>
    <s v="MEDTRONICS PUERTO RICO OPERATIONS CO."/>
    <s v="M0547 - MEDTRONICS PUERTO RICO OPERATIONS CO."/>
    <s v="JUNCOS"/>
    <s v="Medical Device"/>
    <x v="1"/>
    <n v="2500000"/>
    <n v="0"/>
    <n v="0"/>
    <n v="2500000"/>
    <n v="0"/>
    <n v="19500000"/>
    <m/>
    <m/>
  </r>
  <r>
    <s v="FE-2018-2019-0006"/>
    <s v="2019-000398-A"/>
    <x v="2"/>
    <d v="2019-04-17T00:00:00"/>
    <s v="16/4/2029"/>
    <s v="INCENT FEDE"/>
    <s v="Contract"/>
    <s v="M0547"/>
    <s v="MEDTRONICS PUERTO RICO OPERATIONS CO."/>
    <s v="M0547 - MEDTRONICS PUERTO RICO OPERATIONS CO."/>
    <s v="JUNCOS"/>
    <s v="Medical Device"/>
    <x v="2"/>
    <n v="14000000"/>
    <n v="0"/>
    <n v="9333333.3200000003"/>
    <n v="4666666.68"/>
    <n v="225"/>
    <n v="21000000"/>
    <n v="9000000"/>
    <m/>
  </r>
  <r>
    <s v="FE-2018-2019-0096"/>
    <s v="2020-000081"/>
    <x v="76"/>
    <d v="2019-08-06T00:00:00"/>
    <d v="2025-05-08T00:00:00"/>
    <s v="INCENT FEDE"/>
    <s v="Contract"/>
    <s v="M0547"/>
    <s v="MEDTRONICS PUERTO RICO OPERATIONS CO."/>
    <s v="M0547 - MEDTRONICS PUERTO RICO OPERATIONS CO."/>
    <s v="JUNCOS"/>
    <s v="Medical Device"/>
    <x v="5"/>
    <n v="1350000"/>
    <n v="0"/>
    <n v="0"/>
    <n v="1350000"/>
    <n v="27"/>
    <s v=""/>
    <s v=""/>
    <m/>
  </r>
  <r>
    <s v="FE-2018-2019-0098"/>
    <s v="2020-000080"/>
    <x v="76"/>
    <d v="2019-08-06T00:00:00"/>
    <d v="2024-05-08T00:00:00"/>
    <s v="INCENT FEDE"/>
    <s v="Contract"/>
    <s v="M0547"/>
    <s v="MEDTRONICS PUERTO RICO OPERATIONS CO."/>
    <s v="M0547 - MEDTRONICS PUERTO RICO OPERATIONS CO."/>
    <s v="JUNCOS"/>
    <s v="Medical Device"/>
    <x v="2"/>
    <n v="500000"/>
    <n v="0"/>
    <n v="0"/>
    <n v="500000"/>
    <n v="0"/>
    <s v=""/>
    <s v=""/>
    <m/>
  </r>
  <r>
    <s v="FE-2019-2020-0016"/>
    <s v="2020-000078"/>
    <x v="4"/>
    <d v="2019-08-06T00:00:00"/>
    <d v="2026-05-08T00:00:00"/>
    <s v="INCENT FEDE"/>
    <s v="Contract"/>
    <s v="M0547"/>
    <s v="MEDTRONICS PUERTO RICO OPERATIONS CO."/>
    <s v="M0547 - MEDTRONICS PUERTO RICO OPERATIONS CO."/>
    <s v="JUNCOS"/>
    <s v="Medical Device"/>
    <x v="5"/>
    <n v="1750000"/>
    <n v="0"/>
    <n v="0"/>
    <n v="1750000"/>
    <n v="350"/>
    <m/>
    <n v="15500000"/>
    <m/>
  </r>
  <r>
    <s v="FE-2019-2020-0017"/>
    <s v="2020-000079"/>
    <x v="4"/>
    <d v="2019-08-06T00:00:00"/>
    <d v="2024-05-08T00:00:00"/>
    <s v="INCENT FEDE"/>
    <s v="Contract"/>
    <s v="M0547"/>
    <s v="MEDTRONICS PUERTO RICO OPERATIONS CO."/>
    <s v="M0547 - MEDTRONICS PUERTO RICO OPERATIONS CO."/>
    <s v="JUNCOS"/>
    <s v="Medical Device"/>
    <x v="2"/>
    <n v="18300000"/>
    <n v="0"/>
    <n v="0"/>
    <n v="18300000"/>
    <n v="0"/>
    <n v="30000000"/>
    <m/>
    <m/>
  </r>
  <r>
    <s v="FIE-2016-2017-IIP-0005"/>
    <s v="2017-000443"/>
    <x v="6"/>
    <d v="2017-05-22T00:00:00"/>
    <s v=""/>
    <s v="INCENT ESP"/>
    <s v="Contract"/>
    <s v="M0523"/>
    <s v="MELENDEZ ROSA, XIOMARA"/>
    <s v="M0523 - MELENDEZ ROSA, XIOMARA"/>
    <s v="SAN JUAN"/>
    <s v="Programa Artesanía"/>
    <x v="4"/>
    <n v="1000"/>
    <n v="1000"/>
    <n v="0"/>
    <n v="0"/>
    <n v="0"/>
    <s v=""/>
    <s v=""/>
    <m/>
  </r>
  <r>
    <s v="FIE-2017-2018-IIP-0004"/>
    <s v="2018-000394"/>
    <x v="24"/>
    <d v="2018-06-19T00:00:00"/>
    <s v=""/>
    <s v="INCENT ESP"/>
    <s v="Contract"/>
    <s v="M0523"/>
    <s v="MELENDEZ ROSA, XIOMARA"/>
    <s v="M0523 - MELENDEZ ROSA, XIOMARA"/>
    <s v="SAN JUAN"/>
    <s v="Programa Artesanía"/>
    <x v="4"/>
    <n v="1111"/>
    <n v="19.04"/>
    <n v="1091.96"/>
    <n v="0"/>
    <n v="0"/>
    <s v=""/>
    <s v=""/>
    <m/>
  </r>
  <r>
    <s v="FIE-2016-2017-IIP-0004"/>
    <s v="2017-000148"/>
    <x v="6"/>
    <d v="2016-08-29T00:00:00"/>
    <s v=""/>
    <s v="INCENT ESP"/>
    <s v="Contract"/>
    <s v="M0648"/>
    <s v="MENDEZ COLON, FRANCES"/>
    <s v="M0648 - MENDEZ COLON, FRANCES"/>
    <s v="SAN JUAN"/>
    <s v="Programa Artesanía"/>
    <x v="4"/>
    <n v="900"/>
    <n v="0"/>
    <n v="900"/>
    <n v="0"/>
    <n v="0"/>
    <s v=""/>
    <s v=""/>
    <m/>
  </r>
  <r>
    <s v="FIE-2019-2020-IIP-0051"/>
    <s v="2020-000429"/>
    <x v="158"/>
    <d v="2020-06-02T00:00:00"/>
    <s v=""/>
    <s v="INCENT ESP"/>
    <s v="Contract"/>
    <s v="M0699"/>
    <s v="MERAKI PAPER &amp; PLASTIC MFG LLC"/>
    <s v="M0699 - MERAKI PAPER &amp; PLASTIC MFG LLC"/>
    <s v="CAROLINA"/>
    <s v="Manufactura de vasos de papel y tapas plasticas desechables"/>
    <x v="5"/>
    <n v="18000"/>
    <n v="0"/>
    <n v="0"/>
    <n v="18000"/>
    <n v="12"/>
    <m/>
    <n v="240000"/>
    <m/>
  </r>
  <r>
    <s v="FIE-2019-2020-IIP-0050"/>
    <s v="2020-000459"/>
    <x v="158"/>
    <d v="2020-06-30T00:00:00"/>
    <s v=""/>
    <s v="INCENT ESP"/>
    <s v="Contract"/>
    <s v="M0699"/>
    <s v="MERAKI PAPER &amp; PLASTIC MFG LLC"/>
    <s v="M0699 - MERAKI PAPER &amp; PLASTIC MFG LLC"/>
    <s v="CAROLINA"/>
    <s v="Manufactura de vasos de papel y tapas plasticas desechables"/>
    <x v="2"/>
    <n v="70000"/>
    <n v="0"/>
    <n v="0"/>
    <n v="70000"/>
    <n v="0"/>
    <n v="350000"/>
    <m/>
    <m/>
  </r>
  <r>
    <s v="FIE-2017-2018-IIP-0008"/>
    <s v="2018-000396"/>
    <x v="24"/>
    <d v="2018-06-22T00:00:00"/>
    <s v=""/>
    <s v="INCENT ESP"/>
    <s v="Contract"/>
    <s v="M0008"/>
    <s v="MICROJURIS.COM, INC"/>
    <s v="M0008 - MICROJURIS.COM, INC"/>
    <s v="SAN JUAN"/>
    <s v="Servicios"/>
    <x v="0"/>
    <n v="50000"/>
    <n v="0"/>
    <n v="21562.79"/>
    <n v="28437.21"/>
    <n v="0"/>
    <s v=""/>
    <s v=""/>
    <m/>
  </r>
  <r>
    <s v="FIE-2018-2019-IIP-0013"/>
    <s v="2019-000333"/>
    <x v="2"/>
    <d v="2019-03-07T00:00:00"/>
    <s v=""/>
    <s v="INCENT ESP"/>
    <s v="Contract"/>
    <s v="M0689"/>
    <s v="MIELES RIVERA, YARITZA M."/>
    <s v="M0689 - MIELES RIVERA, YARITZA M."/>
    <s v="CAGUAS"/>
    <s v="Programa Artesanía"/>
    <x v="4"/>
    <n v="1000"/>
    <n v="148.05000000000001"/>
    <n v="851.95"/>
    <n v="0"/>
    <n v="0"/>
    <s v=""/>
    <s v=""/>
    <m/>
  </r>
  <r>
    <s v="FIE-2017-2018-IIP-0004"/>
    <s v="2018-000379"/>
    <x v="24"/>
    <d v="2018-05-24T00:00:00"/>
    <s v=""/>
    <s v="INCENT ESP"/>
    <s v="Contract"/>
    <s v="M0168"/>
    <s v="MILAGROS DELGADO DE RAMOS"/>
    <s v="M0168 - MILAGROS DELGADO DE RAMOS"/>
    <s v="SAN JUAN"/>
    <s v="Programa Artesanía"/>
    <x v="4"/>
    <n v="420"/>
    <n v="0"/>
    <n v="420"/>
    <n v="0"/>
    <n v="0"/>
    <s v=""/>
    <s v=""/>
    <m/>
  </r>
  <r>
    <s v="FIE-2016-2017-IIP-0005"/>
    <s v="2017-000465"/>
    <x v="6"/>
    <d v="2017-06-26T00:00:00"/>
    <s v=""/>
    <s v="INCENT ESP"/>
    <s v="Contract"/>
    <s v="M0088"/>
    <s v="MILDRED ARCE TIRADO"/>
    <s v="M0088 - MILDRED ARCE TIRADO"/>
    <s v="SAN JUAN"/>
    <s v="Programa Artesanía"/>
    <x v="4"/>
    <n v="993.5"/>
    <n v="0"/>
    <n v="993.5"/>
    <n v="0"/>
    <n v="0"/>
    <s v=""/>
    <s v=""/>
    <m/>
  </r>
  <r>
    <s v="FIE-2019-2020-IIP-0012"/>
    <s v="2020-000214"/>
    <x v="99"/>
    <d v="2019-11-06T00:00:00"/>
    <s v=""/>
    <s v="INCENT ESP"/>
    <s v="Contract"/>
    <s v="M0711"/>
    <s v="MIRAMAR SERVICES, LLC"/>
    <s v="M0711 - MIRAMAR SERVICES, LLC"/>
    <s v="SAN JUAN"/>
    <s v="Producción de cocteles listos para mezclar, listos para servir y listos para beber"/>
    <x v="5"/>
    <n v="30000"/>
    <n v="0"/>
    <n v="0"/>
    <n v="30000"/>
    <n v="20"/>
    <m/>
    <n v="302105"/>
    <m/>
  </r>
  <r>
    <s v="FIE-2019-2020-IIP-0013"/>
    <s v="2020-000215"/>
    <x v="99"/>
    <d v="2019-11-06T00:00:00"/>
    <s v=""/>
    <s v="INCENT ESP"/>
    <s v="Contract"/>
    <s v="M0711"/>
    <s v="MIRAMAR SERVICES, LLC"/>
    <s v="M0711 - MIRAMAR SERVICES, LLC"/>
    <s v="SAN JUAN"/>
    <s v="Producción de cocteles listos para mezclar, listos para servir y listos para beber"/>
    <x v="2"/>
    <n v="50000"/>
    <n v="0"/>
    <n v="0"/>
    <n v="50000"/>
    <n v="0"/>
    <n v="200000"/>
    <m/>
    <m/>
  </r>
  <r>
    <s v="FIE-2018-2019-IIP-0013"/>
    <s v="2019-000324"/>
    <x v="2"/>
    <d v="2019-03-01T00:00:00"/>
    <s v=""/>
    <s v="INCENT ESP"/>
    <s v="Contract"/>
    <s v="M0688"/>
    <s v="MIRANDA RIVERA, LUIS O."/>
    <s v="M0688 - MIRANDA RIVERA, LUIS O."/>
    <s v="SAN JUAN"/>
    <s v="Programa Artesanía"/>
    <x v="4"/>
    <n v="2274"/>
    <n v="274"/>
    <n v="2000"/>
    <n v="0"/>
    <n v="0"/>
    <s v=""/>
    <s v=""/>
    <m/>
  </r>
  <r>
    <s v="FIE-2016-2017-IIP-0037"/>
    <s v="2017-000220"/>
    <x v="0"/>
    <d v="2016-11-09T00:00:00"/>
    <s v=""/>
    <s v="INCENT ESP"/>
    <s v="Contract"/>
    <s v="M0504"/>
    <s v="MISTOLIN CARIBE, INC."/>
    <s v="M0504 - MISTOLIN CARIBE, INC."/>
    <s v="SAN JUAN"/>
    <s v="Manufactura"/>
    <x v="12"/>
    <n v="50000"/>
    <n v="0"/>
    <n v="50000"/>
    <n v="0"/>
    <n v="0"/>
    <s v=""/>
    <s v=""/>
    <m/>
  </r>
  <r>
    <s v="FIE-2017-2018-IIP-0009"/>
    <s v="2018-000300"/>
    <x v="24"/>
    <d v="2018-02-28T00:00:00"/>
    <s v=""/>
    <s v="INCENT ESP"/>
    <s v="Contract"/>
    <s v="M0504"/>
    <s v="MISTOLIN CARIBE, INC."/>
    <s v="M0504 - MISTOLIN CARIBE, INC."/>
    <s v="SAN JUAN"/>
    <s v="Manufactura"/>
    <x v="12"/>
    <n v="50000"/>
    <n v="0"/>
    <n v="50000"/>
    <n v="0"/>
    <n v="0"/>
    <s v=""/>
    <s v=""/>
    <m/>
  </r>
  <r>
    <s v="FIE-2018-2019-IIP-0093"/>
    <s v="En Proceso"/>
    <x v="58"/>
    <s v="En Proceso"/>
    <s v=""/>
    <s v="INCENT ESP"/>
    <s v="Assignment"/>
    <m/>
    <s v="MITEL DISTRIBUTING CORP. (MITEL)"/>
    <s v="MITEL DISTRIBUTING CORP. (MITEL)"/>
    <s v="SAN JUAN"/>
    <s v="Servicios"/>
    <x v="5"/>
    <n v="117000"/>
    <n v="117000"/>
    <n v="0"/>
    <n v="0"/>
    <n v="15"/>
    <m/>
    <n v="1695018"/>
    <m/>
  </r>
  <r>
    <s v="FIE-2018-2019-IIP-0094"/>
    <s v="En Proceso"/>
    <x v="58"/>
    <s v="En Proceso"/>
    <s v=""/>
    <s v="INCENT ESP"/>
    <s v="Assignment"/>
    <m/>
    <s v="MITEL DISTRIBUTING CORP. (MITEL)"/>
    <s v="MITEL DISTRIBUTING CORP. (MITEL)"/>
    <s v="SAN JUAN"/>
    <s v="Servicios"/>
    <x v="2"/>
    <n v="100000"/>
    <n v="100000"/>
    <n v="0"/>
    <n v="0"/>
    <n v="0"/>
    <n v="393065"/>
    <m/>
    <m/>
  </r>
  <r>
    <s v="FIE-2018-2019-IIP-0036"/>
    <s v="2020-000304"/>
    <x v="22"/>
    <d v="2020-01-23T00:00:00"/>
    <s v=""/>
    <s v="INCENT ESP"/>
    <s v="Contract"/>
    <s v="M0717"/>
    <s v="MLN,LLC"/>
    <s v="M0717 - MLN,LLC"/>
    <s v="PONCE"/>
    <s v="Alimentos"/>
    <x v="10"/>
    <n v="50000"/>
    <n v="0"/>
    <n v="0"/>
    <n v="50000"/>
    <n v="0"/>
    <n v="115000"/>
    <n v="6889"/>
    <m/>
  </r>
  <r>
    <s v="FIE-2019-2020-IIP-0022"/>
    <s v="2020-000256"/>
    <x v="7"/>
    <d v="2019-12-02T00:00:00"/>
    <s v=""/>
    <s v="INCENT ESP"/>
    <s v="Contract"/>
    <s v="M0712"/>
    <s v="MOJICA ORTIZ, MARGARITA"/>
    <s v="M0712 - MOJICA ORTIZ, MARGARITA"/>
    <s v="SAN JUAN"/>
    <s v="Programa Artesanía"/>
    <x v="4"/>
    <n v="938.78"/>
    <n v="938.78"/>
    <n v="0"/>
    <n v="0"/>
    <n v="0"/>
    <s v=""/>
    <s v=""/>
    <m/>
  </r>
  <r>
    <s v="FIE-2017-2018-IIP-0006"/>
    <s v="2018-000413"/>
    <x v="24"/>
    <d v="2018-06-29T00:00:00"/>
    <s v=""/>
    <s v="INCENT ESP"/>
    <s v="Contract"/>
    <s v="M0681"/>
    <s v="MORALES ACEVEDO, LEONARDA"/>
    <s v="M0681 - MORALES ACEVEDO, LEONARDA"/>
    <s v="SAN JUAN"/>
    <s v="Programa Artesanía"/>
    <x v="4"/>
    <n v="2000"/>
    <n v="0"/>
    <n v="2000"/>
    <n v="0"/>
    <n v="0"/>
    <s v=""/>
    <s v=""/>
    <m/>
  </r>
  <r>
    <s v="FIE-2016-2017-IIP-0006"/>
    <s v="2017-000453"/>
    <x v="6"/>
    <d v="2017-06-05T00:00:00"/>
    <s v=""/>
    <s v="INCENT ESP"/>
    <s v="Contract"/>
    <s v="M0578"/>
    <s v="MORALES ORTEGA, MANUEL DE J."/>
    <s v="M0578 - MORALES ORTEGA, MANUEL DE J."/>
    <s v="SAN JUAN"/>
    <s v="Programa Artesanía"/>
    <x v="4"/>
    <n v="9975"/>
    <n v="0"/>
    <n v="9975"/>
    <n v="0"/>
    <n v="0"/>
    <s v=""/>
    <s v=""/>
    <m/>
  </r>
  <r>
    <s v="FIE-2019-2020-IIP-0022"/>
    <s v="2020-000315"/>
    <x v="7"/>
    <d v="2020-01-30T00:00:00"/>
    <s v=""/>
    <s v="INCENT ESP"/>
    <s v="Contract"/>
    <s v="M0714"/>
    <s v="MOYA DIAZ, JAIME"/>
    <s v="M0714 - MOYA DIAZ, JAIME"/>
    <s v="SAN JUAN"/>
    <s v="Programa Artesanía"/>
    <x v="4"/>
    <n v="720"/>
    <n v="0"/>
    <n v="720"/>
    <n v="0"/>
    <n v="0"/>
    <s v=""/>
    <s v=""/>
    <m/>
  </r>
  <r>
    <s v="FIE-2016-2017-IIP-0037"/>
    <s v="2018-000384"/>
    <x v="0"/>
    <d v="2018-06-11T00:00:00"/>
    <s v=""/>
    <s v="INCENT ESP"/>
    <s v="Contract"/>
    <s v="M0658"/>
    <s v="MS MANGO FARM, LLC"/>
    <s v="M0658 - MS MANGO FARM, LLC"/>
    <s v="SAN JUAN"/>
    <s v="Alimentos"/>
    <x v="0"/>
    <n v="20000"/>
    <n v="0"/>
    <n v="20000"/>
    <n v="0"/>
    <n v="0"/>
    <s v=""/>
    <s v=""/>
    <m/>
  </r>
  <r>
    <s v="FE-2017-2018-0048"/>
    <s v="2019-000109"/>
    <x v="103"/>
    <d v="2018-08-31T00:00:00"/>
    <s v="30/8/2023"/>
    <s v="INCENT FEDE"/>
    <s v="Contract"/>
    <s v="M0678"/>
    <s v="MULTI AXIS MANUFACTURING LLC"/>
    <s v="M0678 - MULTI AXIS MANUFACTURING LLC"/>
    <s v="OROCOVIS"/>
    <s v="Manufactura de piezas especializadas para industria aeroespacial y defensa"/>
    <x v="5"/>
    <n v="200000"/>
    <n v="0"/>
    <n v="0"/>
    <n v="200000"/>
    <n v="100"/>
    <m/>
    <n v="2000000"/>
    <m/>
  </r>
  <r>
    <s v="FE-2017-2018-0049"/>
    <s v="2019-000108-A"/>
    <x v="103"/>
    <d v="2019-01-09T00:00:00"/>
    <s v="30/8/2023"/>
    <s v="INCENT FEDE"/>
    <s v="Contract"/>
    <s v="M0678"/>
    <s v="MULTI AXIS MANUFACTURING LLC"/>
    <s v="M0678 - MULTI AXIS MANUFACTURING LLC"/>
    <s v="OROCOVIS"/>
    <s v="Manufactura de piezas especializadas para industria aeroespacial y defensa"/>
    <x v="1"/>
    <n v="900000"/>
    <n v="0"/>
    <n v="900000"/>
    <n v="0"/>
    <n v="0"/>
    <n v="3145000"/>
    <m/>
    <m/>
  </r>
  <r>
    <s v="FE-2019-2020-0103"/>
    <s v="2020-000431"/>
    <x v="159"/>
    <d v="2020-06-24T00:00:00"/>
    <s v="23/6/2021"/>
    <s v="INCENT FEDE"/>
    <s v="Contract"/>
    <s v="M9050"/>
    <s v="MUNICIPIO AUTONOMO DE BAYAMON"/>
    <s v="M9050 - MUNICIPIO AUTONOMO DE BAYAMON"/>
    <s v="BAYAMON"/>
    <s v="Mantenimiento de parques industriales"/>
    <x v="15"/>
    <n v="2100000"/>
    <n v="0"/>
    <n v="0"/>
    <n v="2100000"/>
    <n v="0"/>
    <s v=""/>
    <s v=""/>
    <m/>
  </r>
  <r>
    <s v="FIE-2016-2017-IIP-0004"/>
    <s v="2017-000415"/>
    <x v="6"/>
    <d v="2017-04-21T00:00:00"/>
    <s v=""/>
    <s v="INCENT ESP"/>
    <s v="Contract"/>
    <s v="M9501"/>
    <s v="MUNICIPIO DE AGUADA"/>
    <s v="M9501 - MUNICIPIO DE AGUADA"/>
    <s v="AGUADA"/>
    <s v="Programa Artesanía"/>
    <x v="4"/>
    <n v="6172.5"/>
    <n v="0"/>
    <n v="6172.5"/>
    <n v="0"/>
    <n v="0"/>
    <s v=""/>
    <s v=""/>
    <m/>
  </r>
  <r>
    <s v="FIE-2017-2018-IIP-0004"/>
    <s v="2018-000336 "/>
    <x v="24"/>
    <d v="2018-03-27T00:00:00"/>
    <s v=""/>
    <s v="INCENT ESP"/>
    <s v="Contract"/>
    <s v="M9501"/>
    <s v="MUNICIPIO DE AGUADA"/>
    <s v="M9501 - MUNICIPIO DE AGUADA"/>
    <s v="AGUADA"/>
    <s v="Programa Artesanía"/>
    <x v="4"/>
    <n v="5695"/>
    <n v="0"/>
    <n v="5695"/>
    <n v="0"/>
    <n v="0"/>
    <s v=""/>
    <s v=""/>
    <m/>
  </r>
  <r>
    <s v="FIE-2018-2019-IIP-0012"/>
    <s v="2019-000183"/>
    <x v="2"/>
    <d v="2018-11-06T00:00:00"/>
    <s v=""/>
    <s v="INCENT ESP"/>
    <s v="Contract"/>
    <s v="M9501"/>
    <s v="MUNICIPIO DE AGUADA"/>
    <s v="M9501 - MUNICIPIO DE AGUADA"/>
    <s v="AGUADA"/>
    <s v="Programa Artesanía"/>
    <x v="4"/>
    <n v="6375"/>
    <n v="150"/>
    <n v="6225"/>
    <n v="0"/>
    <n v="0"/>
    <s v=""/>
    <s v=""/>
    <m/>
  </r>
  <r>
    <s v="FIE-2018-2019-IIP-0012"/>
    <s v="2019-000354"/>
    <x v="2"/>
    <d v="2019-03-19T00:00:00"/>
    <s v=""/>
    <s v="INCENT ESP"/>
    <s v="Contract"/>
    <s v="M9501"/>
    <s v="MUNICIPIO DE AGUADA"/>
    <s v="M9501 - MUNICIPIO DE AGUADA"/>
    <s v="AGUADA"/>
    <s v="Programa Artesanía"/>
    <x v="4"/>
    <n v="7016.25"/>
    <n v="166.25"/>
    <n v="6850"/>
    <n v="0"/>
    <n v="0"/>
    <s v=""/>
    <s v=""/>
    <m/>
  </r>
  <r>
    <s v="FIE-2019-2020-IIP-0021"/>
    <s v="2020-000224"/>
    <x v="7"/>
    <d v="2019-11-13T00:00:00"/>
    <s v=""/>
    <s v="INCENT ESP"/>
    <s v="Contract"/>
    <s v="M9501"/>
    <s v="MUNICIPIO DE AGUADA"/>
    <s v="M9501 - MUNICIPIO DE AGUADA"/>
    <s v="AGUADA"/>
    <s v="Programa Artesanía"/>
    <x v="4"/>
    <n v="6630"/>
    <n v="6630"/>
    <n v="0"/>
    <n v="0"/>
    <n v="0"/>
    <s v=""/>
    <s v=""/>
    <m/>
  </r>
  <r>
    <s v="FIE-2019-2020-IIP-0021"/>
    <s v="2020-000379"/>
    <x v="7"/>
    <d v="2020-02-21T00:00:00"/>
    <s v=""/>
    <s v="INCENT ESP"/>
    <s v="Contract"/>
    <s v="M9501"/>
    <s v="MUNICIPIO DE AGUADA"/>
    <s v="M9501 - MUNICIPIO DE AGUADA"/>
    <s v="AGUADA"/>
    <s v="Programa Artesanía"/>
    <x v="4"/>
    <n v="6206.25"/>
    <n v="6206.25"/>
    <n v="0"/>
    <n v="0"/>
    <n v="0"/>
    <s v=""/>
    <s v=""/>
    <m/>
  </r>
  <r>
    <s v="FIE-2016-2017-IIP-0004"/>
    <s v="2017-000262"/>
    <x v="6"/>
    <d v="2016-12-19T00:00:00"/>
    <s v=""/>
    <s v="INCENT ESP"/>
    <s v="Contract"/>
    <s v="M0398"/>
    <s v="MUNICIPIO DE AIBONITO"/>
    <s v="M0398 - MUNICIPIO DE AIBONITO"/>
    <s v="AIBONITO"/>
    <s v="Programa Artesanía"/>
    <x v="4"/>
    <n v="2800"/>
    <n v="2800"/>
    <n v="0"/>
    <n v="0"/>
    <n v="0"/>
    <s v=""/>
    <s v=""/>
    <m/>
  </r>
  <r>
    <s v="FIE-2017-2018-IIP-0004"/>
    <s v="2018-000273"/>
    <x v="24"/>
    <d v="2018-01-29T00:00:00"/>
    <s v=""/>
    <s v="INCENT ESP"/>
    <s v="Contract"/>
    <s v="M0398"/>
    <s v="MUNICIPIO DE AIBONITO"/>
    <s v="M0398 - MUNICIPIO DE AIBONITO"/>
    <s v="AIBONITO"/>
    <s v="Programa Artesanía"/>
    <x v="4"/>
    <n v="2800"/>
    <n v="2800"/>
    <n v="0"/>
    <n v="0"/>
    <n v="0"/>
    <s v=""/>
    <s v=""/>
    <m/>
  </r>
  <r>
    <s v="FIE-2018-2019-IIP-0012"/>
    <s v="2019-000303-A"/>
    <x v="2"/>
    <d v="2019-03-15T00:00:00"/>
    <s v=""/>
    <s v="INCENT ESP"/>
    <s v="Contract"/>
    <s v="M0398"/>
    <s v="MUNICIPIO DE AIBONITO"/>
    <s v="M0398 - MUNICIPIO DE AIBONITO"/>
    <s v="AIBONITO"/>
    <s v="Programa Artesanía"/>
    <x v="4"/>
    <n v="2300"/>
    <n v="2300"/>
    <n v="0"/>
    <n v="0"/>
    <n v="0"/>
    <s v=""/>
    <s v=""/>
    <m/>
  </r>
  <r>
    <s v="FIE-2016-2017-IIP-0004"/>
    <s v="2017-000218"/>
    <x v="6"/>
    <d v="2016-11-04T00:00:00"/>
    <s v=""/>
    <s v="INCENT ESP"/>
    <s v="Contract"/>
    <s v="M0000"/>
    <s v="MUNICIPIO DE CAMUY"/>
    <s v="M0000 - MUNICIPIO DE CAMUY"/>
    <s v="CAMUY"/>
    <s v="Programa Artesanía"/>
    <x v="4"/>
    <n v="916.25"/>
    <n v="0"/>
    <n v="916.25"/>
    <n v="0"/>
    <n v="0"/>
    <s v=""/>
    <s v=""/>
    <m/>
  </r>
  <r>
    <s v="FIE-2016-2017-IIP-0004"/>
    <s v="2017-000392"/>
    <x v="6"/>
    <d v="2017-03-30T00:00:00"/>
    <s v=""/>
    <s v="INCENT ESP"/>
    <s v="Contract"/>
    <s v="M0000"/>
    <s v="MUNICIPIO DE CAMUY"/>
    <s v="M0000 - MUNICIPIO DE CAMUY"/>
    <s v="CAMUY"/>
    <s v="Programa Artesanía"/>
    <x v="4"/>
    <n v="780"/>
    <n v="0"/>
    <n v="780"/>
    <n v="0"/>
    <n v="0"/>
    <s v=""/>
    <s v=""/>
    <m/>
  </r>
  <r>
    <s v="FIE-2017-2018-IIP-0004"/>
    <s v="2018-000172"/>
    <x v="24"/>
    <d v="2017-12-13T00:00:00"/>
    <s v=""/>
    <s v="INCENT ESP"/>
    <s v="Contract"/>
    <s v="M0000"/>
    <s v="MUNICIPIO DE CAMUY"/>
    <s v="M0000 - MUNICIPIO DE CAMUY"/>
    <s v="CAMUY"/>
    <s v="Programa Artesanía"/>
    <x v="4"/>
    <n v="1145"/>
    <n v="0"/>
    <n v="1145"/>
    <n v="0"/>
    <n v="0"/>
    <s v=""/>
    <s v=""/>
    <m/>
  </r>
  <r>
    <s v="FIE-2017-2018-IIP-0004"/>
    <s v="2018-000354"/>
    <x v="24"/>
    <d v="2018-04-19T00:00:00"/>
    <s v=""/>
    <s v="INCENT ESP"/>
    <s v="Contract"/>
    <s v="M0000"/>
    <s v="MUNICIPIO DE CAMUY"/>
    <s v="M0000 - MUNICIPIO DE CAMUY"/>
    <s v="CAMUY"/>
    <s v="Programa Artesanía"/>
    <x v="4"/>
    <n v="1007.5"/>
    <n v="0"/>
    <n v="1007.5"/>
    <n v="0"/>
    <n v="0"/>
    <s v=""/>
    <s v=""/>
    <m/>
  </r>
  <r>
    <s v="FIE-2018-2019-IIP-0012"/>
    <s v="2019-000231"/>
    <x v="2"/>
    <d v="2018-12-20T00:00:00"/>
    <s v=""/>
    <s v="INCENT ESP"/>
    <s v="Contract"/>
    <s v="M0000"/>
    <s v="MUNICIPIO DE CAMUY"/>
    <s v="M0000 - MUNICIPIO DE CAMUY"/>
    <s v="CAMUY"/>
    <s v="Programa Artesanía"/>
    <x v="4"/>
    <n v="1123.75"/>
    <n v="0"/>
    <n v="1123.75"/>
    <n v="0"/>
    <n v="0"/>
    <s v=""/>
    <s v=""/>
    <m/>
  </r>
  <r>
    <s v="FIE-2018-2019-IIP-0012"/>
    <s v="2019-000396"/>
    <x v="2"/>
    <d v="2019-04-10T00:00:00"/>
    <s v=""/>
    <s v="INCENT ESP"/>
    <s v="Contract"/>
    <s v="M0000"/>
    <s v="MUNICIPIO DE CAMUY"/>
    <s v="M0000 - MUNICIPIO DE CAMUY"/>
    <s v="CAMUY"/>
    <s v="Programa Artesanía"/>
    <x v="4"/>
    <n v="292.5"/>
    <n v="0"/>
    <n v="292.5"/>
    <n v="0"/>
    <n v="0"/>
    <s v=""/>
    <s v=""/>
    <m/>
  </r>
  <r>
    <s v="FIE-2019-2020-IIP-0021"/>
    <s v="2020-000281"/>
    <x v="7"/>
    <d v="2019-12-19T00:00:00"/>
    <s v=""/>
    <s v="INCENT ESP"/>
    <s v="Contract"/>
    <s v="M0000"/>
    <s v="MUNICIPIO DE CAMUY"/>
    <s v="M0000 - MUNICIPIO DE CAMUY"/>
    <s v="CAMUY"/>
    <s v="Programa Artesanía"/>
    <x v="4"/>
    <n v="300"/>
    <n v="300"/>
    <n v="0"/>
    <n v="0"/>
    <n v="0"/>
    <s v=""/>
    <s v=""/>
    <m/>
  </r>
  <r>
    <s v="FIE-2018-2019-IIP-0012"/>
    <s v="2019-000415"/>
    <x v="2"/>
    <d v="2019-04-26T00:00:00"/>
    <s v=""/>
    <s v="INCENT ESP"/>
    <s v="Contract"/>
    <s v="M0618"/>
    <s v="MUNICIPIO DE HATILLO"/>
    <s v="M0618 - MUNICIPIO DE HATILLO"/>
    <s v="HATILLO"/>
    <s v="Programa Artesanía"/>
    <x v="4"/>
    <n v="1080"/>
    <n v="1080"/>
    <n v="0"/>
    <n v="0"/>
    <n v="0"/>
    <s v=""/>
    <s v=""/>
    <m/>
  </r>
  <r>
    <s v="FIE-2018-2019-IIP-0012"/>
    <s v="2019-000172"/>
    <x v="2"/>
    <d v="2018-10-23T00:00:00"/>
    <s v=""/>
    <s v="INCENT ESP"/>
    <s v="Contract"/>
    <s v="M9555"/>
    <s v="MUNICIPIO DE JAYUYA"/>
    <s v="M9555 - MUNICIPIO DE JAYUYA"/>
    <s v="JAYUYA"/>
    <s v="Programa Artesanía"/>
    <x v="4"/>
    <n v="1000"/>
    <n v="1000"/>
    <n v="0"/>
    <n v="0"/>
    <n v="0"/>
    <s v=""/>
    <s v=""/>
    <m/>
  </r>
  <r>
    <s v="FIE-2016-2017-IIP-0004"/>
    <s v="2017-000179"/>
    <x v="6"/>
    <d v="2016-09-21T00:00:00"/>
    <s v=""/>
    <s v="INCENT ESP"/>
    <s v="Contract"/>
    <s v="M9570"/>
    <s v="MUNICIPIO DE LARES"/>
    <s v="M9570 - MUNICIPIO DE LARES"/>
    <s v="LARES"/>
    <s v="Programa Artesanía"/>
    <x v="4"/>
    <n v="2400"/>
    <n v="0"/>
    <n v="2400"/>
    <n v="0"/>
    <n v="0"/>
    <s v=""/>
    <s v=""/>
    <m/>
  </r>
  <r>
    <s v="FIE-2016-2017-IIP-0004"/>
    <s v="2017-000396"/>
    <x v="6"/>
    <d v="2017-04-05T00:00:00"/>
    <s v=""/>
    <s v="INCENT ESP"/>
    <s v="Contract"/>
    <s v="M9570"/>
    <s v="MUNICIPIO DE LARES"/>
    <s v="M9570 - MUNICIPIO DE LARES"/>
    <s v="LARES"/>
    <s v="Programa Artesanía"/>
    <x v="4"/>
    <n v="2500"/>
    <n v="0"/>
    <n v="2500"/>
    <n v="0"/>
    <n v="0"/>
    <s v=""/>
    <s v=""/>
    <m/>
  </r>
  <r>
    <s v="FIE-2017-2018-IIP-0004"/>
    <s v="2018-000337"/>
    <x v="24"/>
    <d v="2018-03-28T00:00:00"/>
    <s v=""/>
    <s v="INCENT ESP"/>
    <s v="Contract"/>
    <s v="M9570"/>
    <s v="MUNICIPIO DE LARES"/>
    <s v="M9570 - MUNICIPIO DE LARES"/>
    <s v="LARES"/>
    <s v="Programa Artesanía"/>
    <x v="4"/>
    <n v="1655"/>
    <n v="0"/>
    <n v="1655"/>
    <n v="0"/>
    <n v="0"/>
    <s v=""/>
    <s v=""/>
    <m/>
  </r>
  <r>
    <s v="FIE-2018-2019-IIP-0012"/>
    <s v="2019-000152"/>
    <x v="2"/>
    <d v="2018-10-04T00:00:00"/>
    <s v=""/>
    <s v="INCENT ESP"/>
    <s v="Contract"/>
    <s v="M9570"/>
    <s v="MUNICIPIO DE LARES"/>
    <s v="M9570 - MUNICIPIO DE LARES"/>
    <s v="LARES"/>
    <s v="Programa Artesanía"/>
    <x v="4"/>
    <n v="1300"/>
    <n v="0"/>
    <n v="1300"/>
    <n v="0"/>
    <n v="0"/>
    <s v=""/>
    <s v=""/>
    <m/>
  </r>
  <r>
    <s v="FIE-2018-2019-IIP-0012"/>
    <s v="2019-000378"/>
    <x v="2"/>
    <d v="2019-03-27T00:00:00"/>
    <s v=""/>
    <s v="INCENT ESP"/>
    <s v="Contract"/>
    <s v="M9570"/>
    <s v="MUNICIPIO DE LARES"/>
    <s v="M9570 - MUNICIPIO DE LARES"/>
    <s v="LARES"/>
    <s v="Programa Artesanía"/>
    <x v="4"/>
    <n v="1600"/>
    <n v="0"/>
    <n v="1600"/>
    <n v="0"/>
    <n v="0"/>
    <s v=""/>
    <s v=""/>
    <m/>
  </r>
  <r>
    <s v="FIE-2019-2020-IIP-0021"/>
    <s v="2020-000189"/>
    <x v="7"/>
    <d v="2019-10-22T00:00:00"/>
    <s v=""/>
    <s v="INCENT ESP"/>
    <s v="Contract"/>
    <s v="M9570"/>
    <s v="MUNICIPIO DE LARES"/>
    <s v="M9570 - MUNICIPIO DE LARES"/>
    <s v="LARES"/>
    <s v="Programa Artesanía"/>
    <x v="4"/>
    <n v="1300"/>
    <n v="0"/>
    <n v="1300"/>
    <n v="0"/>
    <n v="0"/>
    <s v=""/>
    <s v=""/>
    <m/>
  </r>
  <r>
    <s v="FIE-2016-2017-IIP-0004"/>
    <s v="2017-000377"/>
    <x v="6"/>
    <d v="2017-03-08T00:00:00"/>
    <s v=""/>
    <s v="INCENT ESP"/>
    <s v="Contract"/>
    <s v="M9600"/>
    <s v="MUNICIPIO DE LAS MARIAS"/>
    <s v="M9600 - MUNICIPIO DE LAS MARIAS"/>
    <s v="LAS MARIAS"/>
    <s v="Programa Artesanía"/>
    <x v="4"/>
    <n v="1750"/>
    <n v="0"/>
    <n v="1750"/>
    <n v="0"/>
    <n v="0"/>
    <s v=""/>
    <s v=""/>
    <m/>
  </r>
  <r>
    <s v="FIE-2017-2018-IIP-0004"/>
    <s v="2018-000323"/>
    <x v="24"/>
    <d v="2018-03-15T00:00:00"/>
    <s v=""/>
    <s v="INCENT ESP"/>
    <s v="Contract"/>
    <s v="M9600"/>
    <s v="MUNICIPIO DE LAS MARIAS"/>
    <s v="M9600 - MUNICIPIO DE LAS MARIAS"/>
    <s v="LAS MARIAS"/>
    <s v="Programa Artesanía"/>
    <x v="4"/>
    <n v="2240"/>
    <n v="2240"/>
    <n v="0"/>
    <n v="0"/>
    <n v="0"/>
    <s v=""/>
    <s v=""/>
    <m/>
  </r>
  <r>
    <s v="FIE-2019-2020-IIP-0021"/>
    <s v="2020-000380"/>
    <x v="7"/>
    <d v="2020-02-28T00:00:00"/>
    <s v=""/>
    <s v="INCENT ESP"/>
    <s v="Contract"/>
    <s v="M9156"/>
    <s v="MUNICIPIO DE LAS PIEDRAS"/>
    <s v="M9156 - MUNICIPIO DE LAS PIEDRAS"/>
    <s v="LAS PIEDRAS"/>
    <s v="Programa Artesanía"/>
    <x v="4"/>
    <n v="2230"/>
    <n v="2230"/>
    <n v="0"/>
    <n v="0"/>
    <n v="0"/>
    <s v=""/>
    <s v=""/>
    <m/>
  </r>
  <r>
    <s v="FIE-2018-2019-IIP-0012"/>
    <s v="2019-000265"/>
    <x v="2"/>
    <d v="2019-02-05T00:00:00"/>
    <s v=""/>
    <s v="INCENT ESP"/>
    <s v="Contract"/>
    <s v="M9880"/>
    <s v="MUNICIPIO DE MARICAO"/>
    <s v="M9880 - MUNICIPIO DE MARICAO"/>
    <s v="MARICAO"/>
    <s v="Programa Artesanía"/>
    <x v="4"/>
    <n v="1240"/>
    <n v="1240"/>
    <n v="0"/>
    <n v="0"/>
    <n v="0"/>
    <s v=""/>
    <s v=""/>
    <m/>
  </r>
  <r>
    <s v="FIE-2016-2017-IIP-0004"/>
    <s v="2018-000004"/>
    <x v="6"/>
    <d v="2017-07-07T00:00:00"/>
    <s v=""/>
    <s v="INCENT ESP"/>
    <s v="Contract"/>
    <s v="M9608"/>
    <s v="MUNICIPIO DE SALINAS"/>
    <s v="M9608 - MUNICIPIO DE SALINAS"/>
    <s v="SALINAS"/>
    <s v="Programa Artesanía"/>
    <x v="4"/>
    <n v="1490"/>
    <n v="1490"/>
    <n v="0"/>
    <n v="0"/>
    <n v="0"/>
    <s v=""/>
    <s v=""/>
    <m/>
  </r>
  <r>
    <s v="FIE-2018-2019-IIP-0012"/>
    <s v="2020-000039"/>
    <x v="2"/>
    <d v="2019-07-18T00:00:00"/>
    <s v=""/>
    <s v="INCENT ESP"/>
    <s v="Contract"/>
    <s v="M9608"/>
    <s v="MUNICIPIO DE SALINAS"/>
    <s v="M9608 - MUNICIPIO DE SALINAS"/>
    <s v="SALINAS"/>
    <s v="Programa Artesanía"/>
    <x v="4"/>
    <n v="1490"/>
    <n v="1490"/>
    <n v="0"/>
    <n v="0"/>
    <n v="0"/>
    <s v=""/>
    <s v=""/>
    <m/>
  </r>
  <r>
    <s v="FIE-2016-2017-IIP-0004"/>
    <s v="2017-000187"/>
    <x v="6"/>
    <d v="2016-10-05T00:00:00"/>
    <s v=""/>
    <s v="INCENT ESP"/>
    <s v="Contract"/>
    <s v="M9610"/>
    <s v="MUNICIPIO DE VEGA BAJA"/>
    <s v="M9610 - MUNICIPIO DE VEGA BAJA"/>
    <s v="VEGA BAJA"/>
    <s v="Programa Artesanía"/>
    <x v="4"/>
    <n v="1500"/>
    <n v="1500"/>
    <n v="0"/>
    <n v="0"/>
    <n v="0"/>
    <s v=""/>
    <s v=""/>
    <m/>
  </r>
  <r>
    <s v="FIE-2018-2019-IIP-0012"/>
    <s v="2019-000121"/>
    <x v="2"/>
    <d v="2018-09-14T00:00:00"/>
    <s v=""/>
    <s v="INCENT ESP"/>
    <s v="Contract"/>
    <s v="M9610"/>
    <s v="MUNICIPIO DE VEGA BAJA"/>
    <s v="M9610 - MUNICIPIO DE VEGA BAJA"/>
    <s v="VEGA BAJA"/>
    <s v="Programa Artesanía"/>
    <x v="4"/>
    <n v="1500"/>
    <n v="1500"/>
    <n v="0"/>
    <n v="0"/>
    <n v="0"/>
    <s v=""/>
    <s v=""/>
    <m/>
  </r>
  <r>
    <s v="FIE-2018-2019-IIP-0012"/>
    <s v="2019-000349"/>
    <x v="2"/>
    <d v="2019-03-22T00:00:00"/>
    <s v=""/>
    <s v="INCENT ESP"/>
    <s v="Contract"/>
    <s v="M9610"/>
    <s v="MUNICIPIO DE VEGA BAJA"/>
    <s v="M9610 - MUNICIPIO DE VEGA BAJA"/>
    <s v="VEGA BAJA"/>
    <s v="Programa Artesanía"/>
    <x v="4"/>
    <n v="948.5"/>
    <n v="948.5"/>
    <n v="0"/>
    <n v="0"/>
    <n v="0"/>
    <s v=""/>
    <s v=""/>
    <m/>
  </r>
  <r>
    <s v="FIE-2019-2020-IIP-0021"/>
    <s v="2020-000151"/>
    <x v="7"/>
    <d v="2019-09-16T00:00:00"/>
    <s v=""/>
    <s v="INCENT ESP"/>
    <s v="Contract"/>
    <s v="M9610"/>
    <s v="MUNICIPIO DE VEGA BAJA"/>
    <s v="M9610 - MUNICIPIO DE VEGA BAJA"/>
    <s v="VEGA BAJA"/>
    <s v="Programa Artesanía"/>
    <x v="4"/>
    <n v="1500"/>
    <n v="1500"/>
    <n v="0"/>
    <n v="0"/>
    <n v="0"/>
    <s v=""/>
    <s v=""/>
    <m/>
  </r>
  <r>
    <s v="FIE-2017-2018-IIP-0004"/>
    <s v="2018-000129"/>
    <x v="24"/>
    <d v="2017-11-03T00:00:00"/>
    <s v=""/>
    <s v="INCENT ESP"/>
    <s v="Contract"/>
    <s v="M0632"/>
    <s v="MUNIZ MARTINEZ, IRAIDA"/>
    <s v="M0632 - MUNIZ MARTINEZ, IRAIDA"/>
    <s v="SAN JUAN"/>
    <s v="Programa Artesanía"/>
    <x v="4"/>
    <n v="1080"/>
    <n v="90"/>
    <n v="990"/>
    <n v="0"/>
    <n v="0"/>
    <s v=""/>
    <s v=""/>
    <m/>
  </r>
  <r>
    <s v="FIE-2017-2018-IIP-0004"/>
    <s v="2018-000311"/>
    <x v="24"/>
    <d v="2018-03-08T00:00:00"/>
    <s v=""/>
    <s v="INCENT ESP"/>
    <s v="Contract"/>
    <s v="M0632"/>
    <s v="MUNIZ MARTINEZ, IRAIDA"/>
    <s v="M0632 - MUNIZ MARTINEZ, IRAIDA"/>
    <s v="SAN JUAN"/>
    <s v="Programa Artesanía"/>
    <x v="4"/>
    <n v="1080"/>
    <n v="0"/>
    <n v="1080"/>
    <n v="0"/>
    <n v="0"/>
    <s v=""/>
    <s v=""/>
    <m/>
  </r>
  <r>
    <s v="FIE-2018-2019-IIP-0012"/>
    <s v="2019-000123"/>
    <x v="2"/>
    <d v="2018-09-10T00:00:00"/>
    <s v=""/>
    <s v="INCENT ESP"/>
    <s v="Contract"/>
    <s v="M0632"/>
    <s v="MUNIZ MARTINEZ, IRAIDA"/>
    <s v="M0632 - MUNIZ MARTINEZ, IRAIDA"/>
    <s v="SAN JUAN"/>
    <s v="Programa Artesanía"/>
    <x v="4"/>
    <n v="1080"/>
    <n v="1080"/>
    <n v="0"/>
    <n v="0"/>
    <n v="0"/>
    <s v=""/>
    <s v=""/>
    <m/>
  </r>
  <r>
    <s v="FIE-2016-2017-IIP-0004"/>
    <s v="2017-000175 "/>
    <x v="6"/>
    <d v="2016-09-19T00:00:00"/>
    <s v=""/>
    <s v="INCENT ESP"/>
    <s v="Contract"/>
    <s v="M0518"/>
    <s v="MUSEO DE LAS AMERICAS, INC."/>
    <s v="M0518 - MUSEO DE LAS AMERICAS, INC."/>
    <s v="SAN JUAN"/>
    <s v="Programa Artesanía"/>
    <x v="4"/>
    <n v="900"/>
    <n v="900"/>
    <n v="0"/>
    <n v="0"/>
    <n v="0"/>
    <s v=""/>
    <s v=""/>
    <m/>
  </r>
  <r>
    <s v="FIE-2019-2020-IIP-0099"/>
    <s v="2020-000427"/>
    <x v="67"/>
    <d v="2020-05-29T00:00:00"/>
    <s v=""/>
    <s v="INCENT ESP"/>
    <s v="Contract"/>
    <s v="N0163"/>
    <s v="N &amp; D PRODUCTS LLC "/>
    <s v="N0163 - N &amp; D PRODUCTS LLC "/>
    <s v="SAN JUAN"/>
    <s v="Manufactura"/>
    <x v="5"/>
    <n v="5000"/>
    <n v="0"/>
    <n v="0"/>
    <n v="5000"/>
    <n v="10"/>
    <n v="90000"/>
    <n v="150800"/>
    <m/>
  </r>
  <r>
    <s v="FIE-2017-2018-IIP-0012"/>
    <s v="2018-000141"/>
    <x v="160"/>
    <d v="2017-11-16T00:00:00"/>
    <s v=""/>
    <s v="INCENT ESP"/>
    <s v="Contract"/>
    <s v="N0141"/>
    <s v="NABRA POWDER COATING"/>
    <s v="N0141 - NABRA POWDER COATING"/>
    <s v="SAN JUAN"/>
    <s v="Incentivo de Emergencias Huracanes - Generadores"/>
    <x v="3"/>
    <n v="25000"/>
    <n v="6400"/>
    <n v="18600"/>
    <n v="0"/>
    <n v="0"/>
    <s v=""/>
    <s v=""/>
    <m/>
  </r>
  <r>
    <s v="FIE-2019-2020-IIP-0001"/>
    <s v="En Proceso"/>
    <x v="138"/>
    <s v="En Proceso"/>
    <s v=""/>
    <s v="INCENT ESP"/>
    <s v="Assignment"/>
    <s v="N0141"/>
    <s v="NABRA POWDER COATING"/>
    <s v="N0141 - NABRA POWDER COATING"/>
    <s v="SAN JUAN"/>
    <s v="Servicios"/>
    <x v="5"/>
    <n v="10500"/>
    <n v="0"/>
    <n v="0"/>
    <n v="10500"/>
    <n v="10"/>
    <m/>
    <n v="150800"/>
    <m/>
  </r>
  <r>
    <s v="FIE-2019-2020-IIP-0002"/>
    <s v="En Proceso"/>
    <x v="138"/>
    <s v="En Proceso"/>
    <s v=""/>
    <s v="INCENT ESP"/>
    <s v="Assignment"/>
    <s v="N0141"/>
    <s v="NABRA POWDER COATING"/>
    <s v="N0141 - NABRA POWDER COATING"/>
    <s v="SAN JUAN"/>
    <s v="Servicios"/>
    <x v="2"/>
    <n v="50000"/>
    <n v="0"/>
    <n v="0"/>
    <n v="50000"/>
    <n v="0"/>
    <n v="55000"/>
    <m/>
    <m/>
  </r>
  <r>
    <s v="FIE-2017-2018-IIP-0008"/>
    <s v="2019-000090"/>
    <x v="24"/>
    <d v="2018-08-28T00:00:00"/>
    <s v=""/>
    <s v="INCENT ESP"/>
    <s v="Contract"/>
    <s v="N0087"/>
    <s v="NAGNOI, INC."/>
    <s v="N0087 - NAGNOI, INC."/>
    <s v="SAN JUAN"/>
    <s v="Tecnología"/>
    <x v="0"/>
    <n v="50000"/>
    <n v="0"/>
    <n v="50000"/>
    <n v="0"/>
    <n v="0"/>
    <s v=""/>
    <s v=""/>
    <m/>
  </r>
  <r>
    <s v="FIE-2018-2019-IIP-0081"/>
    <s v="2020-000156"/>
    <x v="131"/>
    <d v="2019-09-27T00:00:00"/>
    <s v=""/>
    <s v="INCENT ESP"/>
    <s v="Contract"/>
    <s v="N0087"/>
    <s v="NAGNOI, INC."/>
    <s v="N0087 - NAGNOI, INC."/>
    <s v="SAN JUAN"/>
    <s v="Tecnología"/>
    <x v="5"/>
    <n v="140000"/>
    <n v="0"/>
    <n v="0"/>
    <n v="140000"/>
    <n v="35"/>
    <s v=""/>
    <s v=""/>
    <m/>
  </r>
  <r>
    <s v="FIE-2018-2019-IIP-0012"/>
    <s v="2019-000191"/>
    <x v="2"/>
    <d v="2018-11-13T00:00:00"/>
    <s v=""/>
    <s v="INCENT ESP"/>
    <s v="Contract"/>
    <s v="N0900"/>
    <s v="NAPOLES SALES &amp; RENTAL CORPORATION"/>
    <s v="N0900 - NAPOLES SALES &amp; RENTAL CORPORATION"/>
    <s v="SAN JUAN"/>
    <s v="Programa Artesanía"/>
    <x v="4"/>
    <n v="3488.5"/>
    <n v="0"/>
    <n v="3488.5"/>
    <n v="0"/>
    <n v="0"/>
    <s v=""/>
    <s v=""/>
    <m/>
  </r>
  <r>
    <s v="FIE-2018-2019-IIP-0012"/>
    <s v="2019-000205"/>
    <x v="2"/>
    <d v="2018-11-30T00:00:00"/>
    <s v=""/>
    <s v="INCENT ESP"/>
    <s v="Contract"/>
    <s v="N0900"/>
    <s v="NAPOLES SALES &amp; RENTAL CORPORATION"/>
    <s v="N0900 - NAPOLES SALES &amp; RENTAL CORPORATION"/>
    <s v="SAN JUAN"/>
    <s v="Programa Artesanía"/>
    <x v="4"/>
    <n v="4560"/>
    <n v="0"/>
    <n v="4560"/>
    <n v="0"/>
    <n v="0"/>
    <s v=""/>
    <s v=""/>
    <m/>
  </r>
  <r>
    <s v="FIE-2017-2018-IIP-0115"/>
    <s v="2018-000390"/>
    <x v="161"/>
    <d v="2018-06-20T00:00:00"/>
    <s v=""/>
    <s v="INCENT ESP"/>
    <s v="Contract"/>
    <s v="N0094"/>
    <s v="NATURAL SOUPS, INC."/>
    <s v="N0094 - NATURAL SOUPS, INC."/>
    <s v="HORMIGUEROS"/>
    <s v="SOPAS NATURALES"/>
    <x v="5"/>
    <n v="10500"/>
    <n v="0"/>
    <n v="4500"/>
    <n v="6000"/>
    <n v="7"/>
    <n v="16000"/>
    <n v="180960"/>
    <m/>
  </r>
  <r>
    <s v="FIE-2018-2019-IIP-0052"/>
    <s v="2019-000449"/>
    <x v="139"/>
    <d v="2019-05-22T00:00:00"/>
    <s v=""/>
    <s v="INCENT ESP"/>
    <s v="Contract"/>
    <s v="N0094"/>
    <s v="NATURAL SOUPS, INC."/>
    <s v="N0094 - NATURAL SOUPS, INC."/>
    <s v="HORMIGUEROS"/>
    <s v="SOPAS NATURALES"/>
    <x v="2"/>
    <n v="32300"/>
    <n v="0"/>
    <n v="0"/>
    <n v="32300"/>
    <n v="0"/>
    <n v="32300"/>
    <n v="0"/>
    <m/>
  </r>
  <r>
    <s v="FIE-2019-2020-IIP-0021"/>
    <s v="2020-000263"/>
    <x v="7"/>
    <d v="2019-12-06T00:00:00"/>
    <s v=""/>
    <s v="INCENT ESP"/>
    <s v="Contract"/>
    <s v="N0167"/>
    <s v="NAZARIO PADILLA, JOSE O."/>
    <s v="N0167 - NAZARIO PADILLA, JOSE O."/>
    <s v="SAN JUAN"/>
    <s v="Programa Artesanía"/>
    <x v="4"/>
    <n v="100"/>
    <n v="0"/>
    <n v="100"/>
    <n v="0"/>
    <n v="0"/>
    <s v=""/>
    <s v=""/>
    <m/>
  </r>
  <r>
    <s v="FIE-2019-2020-IIP-0021"/>
    <s v="2020-000309"/>
    <x v="7"/>
    <d v="2020-01-20T00:00:00"/>
    <s v=""/>
    <s v="INCENT ESP"/>
    <s v="Contract"/>
    <s v="N0167"/>
    <s v="NAZARIO PADILLA, JOSE O."/>
    <s v="N0167 - NAZARIO PADILLA, JOSE O."/>
    <s v="SAN JUAN"/>
    <s v="Programa Artesanía"/>
    <x v="4"/>
    <n v="1260"/>
    <n v="1260"/>
    <n v="0"/>
    <n v="0"/>
    <n v="0"/>
    <s v=""/>
    <s v=""/>
    <m/>
  </r>
  <r>
    <s v="FIE-2016-2017-IIP-0005"/>
    <s v="2017-000324"/>
    <x v="6"/>
    <d v="2017-01-31T00:00:00"/>
    <s v=""/>
    <s v="INCENT ESP"/>
    <s v="Contract"/>
    <s v="N0149"/>
    <s v="NAZARIO PAGAN, LIZ J."/>
    <s v="N0149 - NAZARIO PAGAN, LIZ J."/>
    <s v="SAN JUAN"/>
    <s v="Programa Artesanía"/>
    <x v="4"/>
    <n v="995.4"/>
    <n v="0"/>
    <n v="995.4"/>
    <n v="0"/>
    <n v="0"/>
    <s v=""/>
    <s v=""/>
    <m/>
  </r>
  <r>
    <s v="FIE-2019-2020-IIP-0021"/>
    <s v="2020-000262"/>
    <x v="7"/>
    <d v="2019-12-06T00:00:00"/>
    <s v=""/>
    <s v="INCENT ESP"/>
    <s v="Contract"/>
    <s v="N0166"/>
    <s v="NEGRON BAEZ, MANUEL"/>
    <s v="N0166 - NEGRON BAEZ, MANUEL"/>
    <s v="SAN JUAN"/>
    <s v="Programa Artesanía"/>
    <x v="4"/>
    <n v="100"/>
    <n v="0"/>
    <n v="100"/>
    <n v="0"/>
    <n v="0"/>
    <s v=""/>
    <s v=""/>
    <m/>
  </r>
  <r>
    <s v="FE-2017-2018-0041"/>
    <s v="2019-000240"/>
    <x v="103"/>
    <d v="2019-01-16T00:00:00"/>
    <s v="15/7/2022"/>
    <s v="INCENT FEDE"/>
    <s v="Contract"/>
    <s v="N0152"/>
    <s v="NELIPAK PUERTO RICO, LLC"/>
    <s v="N0152 - NELIPAK PUERTO RICO, LLC"/>
    <s v="HUMACAO"/>
    <s v="Manufactura"/>
    <x v="5"/>
    <n v="150000"/>
    <n v="0"/>
    <n v="99000"/>
    <n v="51000"/>
    <n v="50"/>
    <m/>
    <n v="1800000"/>
    <m/>
  </r>
  <r>
    <s v="FE-2017-2018-0042"/>
    <s v="2019-000239"/>
    <x v="103"/>
    <d v="2019-01-16T00:00:00"/>
    <s v="15/1/2024"/>
    <s v="INCENT FEDE"/>
    <s v="Contract"/>
    <s v="N0152"/>
    <s v="NELIPAK PUERTO RICO, LLC"/>
    <s v="N0152 - NELIPAK PUERTO RICO, LLC"/>
    <s v="HUMACAO"/>
    <s v="Manufactura"/>
    <x v="1"/>
    <n v="150000"/>
    <n v="0"/>
    <n v="0"/>
    <n v="150000"/>
    <n v="0"/>
    <n v="3500900"/>
    <m/>
    <m/>
  </r>
  <r>
    <s v="FE-2017-2018-0043"/>
    <s v="2019-000241"/>
    <x v="103"/>
    <d v="2019-01-16T00:00:00"/>
    <s v="15/1/2024"/>
    <s v="INCENT FEDE"/>
    <s v="Contract"/>
    <s v="N0152"/>
    <s v="NELIPAK PUERTO RICO, LLC"/>
    <s v="N0152 - NELIPAK PUERTO RICO, LLC"/>
    <s v="HUMACAO"/>
    <s v="Manufactura"/>
    <x v="1"/>
    <n v="200000"/>
    <n v="0"/>
    <n v="0"/>
    <n v="200000"/>
    <n v="0"/>
    <n v="3500900"/>
    <m/>
    <m/>
  </r>
  <r>
    <s v="FIE60-2020-2021-0007"/>
    <s v="En Proceso"/>
    <x v="66"/>
    <s v="En Proceso"/>
    <s v=""/>
    <s v="INCENT LEY 60"/>
    <s v="Assignment"/>
    <s v="N0095"/>
    <s v="NEOLPHARMA, INC."/>
    <s v="N0095 - NEOLPHARMA, INC."/>
    <s v="CAGUAS"/>
    <s v="Farmaceútica"/>
    <x v="8"/>
    <n v="1250000"/>
    <n v="0"/>
    <n v="0"/>
    <n v="1250000"/>
    <n v="150"/>
    <m/>
    <n v="10000000"/>
    <n v="0.51"/>
  </r>
  <r>
    <s v="FIE60-2020-2021-0008"/>
    <s v="En Proceso"/>
    <x v="66"/>
    <s v="En Proceso"/>
    <s v=""/>
    <s v="INCENT LEY 60"/>
    <s v="Assignment"/>
    <s v="N0095"/>
    <s v="NEOLPHARMA, INC."/>
    <s v="N0095 - NEOLPHARMA, INC."/>
    <s v="CAGUAS"/>
    <s v="Farmaceútica"/>
    <x v="9"/>
    <n v="1250000"/>
    <n v="0"/>
    <n v="0"/>
    <n v="1250000"/>
    <n v="0"/>
    <n v="10169522"/>
    <m/>
    <n v="0.51"/>
  </r>
  <r>
    <s v="FE-2018-2019-0075"/>
    <s v="2019-000406"/>
    <x v="32"/>
    <d v="2019-04-17T00:00:00"/>
    <s v="16/4/2024"/>
    <s v="INCENT FEDE"/>
    <s v="Contract"/>
    <s v="N0160"/>
    <s v="NEW CABINETS, INC."/>
    <s v="N0160 - NEW CABINETS, INC."/>
    <s v="PONCE"/>
    <s v="Manufactura de paneles de PVC y WPVC"/>
    <x v="1"/>
    <n v="150000"/>
    <n v="0"/>
    <n v="0"/>
    <n v="150000"/>
    <n v="0"/>
    <m/>
    <m/>
    <m/>
  </r>
  <r>
    <s v="FE-2018-2019-0074"/>
    <s v="2019-000404"/>
    <x v="32"/>
    <d v="2019-04-17T00:00:00"/>
    <s v="16/4/2024"/>
    <s v="INCENT FEDE"/>
    <s v="Contract"/>
    <s v="N0160"/>
    <s v="NEW CABINETS, INC."/>
    <s v="N0160 - NEW CABINETS, INC."/>
    <s v="PONCE"/>
    <s v="Manufactura de paneles de PVC y WPVC"/>
    <x v="2"/>
    <n v="300000"/>
    <n v="0"/>
    <n v="0"/>
    <n v="300000"/>
    <n v="0"/>
    <n v="300000"/>
    <m/>
    <m/>
  </r>
  <r>
    <s v="FE-2018-2019-0073"/>
    <s v="2019-000405"/>
    <x v="162"/>
    <d v="2019-04-17T00:00:00"/>
    <s v="16/4/2024"/>
    <s v="INCENT FEDE"/>
    <s v="Contract"/>
    <s v="N0160"/>
    <s v="NEW CABINETS, INC."/>
    <s v="N0160 - NEW CABINETS, INC."/>
    <s v="PONCE"/>
    <s v="Manufactura de paneles de PVC y WPVC"/>
    <x v="5"/>
    <n v="154000"/>
    <n v="0"/>
    <n v="0"/>
    <n v="154000"/>
    <n v="77"/>
    <m/>
    <n v="2485944"/>
    <m/>
  </r>
  <r>
    <s v="FIE60-2020-2021-0023"/>
    <s v="En Proceso"/>
    <x v="39"/>
    <s v="En Proceso"/>
    <s v=""/>
    <s v="INCENT LEY 60"/>
    <s v="Assignment"/>
    <m/>
    <s v="NEW ERA COMPOUNDING LLC"/>
    <s v="NEW ERA COMPOUNDING LLC"/>
    <s v="CAROLINA"/>
    <s v="Manufactura"/>
    <x v="8"/>
    <n v="35000"/>
    <n v="0"/>
    <n v="0"/>
    <n v="35000"/>
    <n v="10"/>
    <m/>
    <n v="620000"/>
    <n v="0.63"/>
  </r>
  <r>
    <s v="FIE60-2020-2021-0025"/>
    <s v="En Proceso"/>
    <x v="39"/>
    <s v="En Proceso"/>
    <s v=""/>
    <s v="INCENT LEY 60"/>
    <s v="Assignment"/>
    <m/>
    <s v="NEW ERA COMPOUNDING LLC"/>
    <s v="NEW ERA COMPOUNDING LLC"/>
    <s v="CAROLINA"/>
    <s v="Manufactura"/>
    <x v="11"/>
    <n v="100000"/>
    <n v="0"/>
    <n v="0"/>
    <n v="100000"/>
    <n v="0"/>
    <m/>
    <m/>
    <n v="0.63"/>
  </r>
  <r>
    <s v="FIE60-2020-2021-0024"/>
    <s v="En Proceso"/>
    <x v="39"/>
    <s v="En Proceso"/>
    <s v=""/>
    <s v="INCENT LEY 60"/>
    <s v="Assignment"/>
    <m/>
    <s v="NEW ERA COMPOUNDING LLC"/>
    <s v="NEW ERA COMPOUNDING LLC"/>
    <s v="CAROLINA"/>
    <s v="Manufactura"/>
    <x v="9"/>
    <n v="100000"/>
    <n v="0"/>
    <n v="0"/>
    <n v="100000"/>
    <n v="0"/>
    <n v="500000"/>
    <m/>
    <n v="0.63"/>
  </r>
  <r>
    <s v="FIE60-2020-2021-0088"/>
    <s v="En Proceso"/>
    <x v="31"/>
    <s v="En Proceso"/>
    <s v=""/>
    <s v="INCENT LEY 60"/>
    <s v="Assignment"/>
    <m/>
    <s v="NEW ERA MANUFACTURING LLC"/>
    <s v="NEW ERA MANUFACTURING LLC"/>
    <s v="CAROLINA"/>
    <s v="Manufacturing of  nutraceutical or 'bioceutical and other OTC products"/>
    <x v="8"/>
    <n v="52500"/>
    <n v="0"/>
    <n v="0"/>
    <n v="52500"/>
    <n v="15"/>
    <s v=""/>
    <n v="400000"/>
    <n v="1.79"/>
  </r>
  <r>
    <s v="FIE60-2020-2021-0090"/>
    <s v="En Proceso"/>
    <x v="31"/>
    <s v="En Proceso"/>
    <s v=""/>
    <s v="INCENT LEY 60"/>
    <s v="Assignment"/>
    <m/>
    <s v="NEW ERA MANUFACTURING LLC"/>
    <s v="NEW ERA MANUFACTURING LLC"/>
    <s v="CAROLINA"/>
    <s v="Manufacturing of  nutraceutical or 'bioceutical and other OTC products"/>
    <x v="11"/>
    <n v="100000"/>
    <n v="0"/>
    <n v="0"/>
    <n v="100000"/>
    <n v="0"/>
    <s v=""/>
    <s v=""/>
    <n v="1.79"/>
  </r>
  <r>
    <s v="FIE60-2020-2021-0089"/>
    <s v="En Proceso"/>
    <x v="31"/>
    <s v="En Proceso"/>
    <s v=""/>
    <s v="INCENT LEY 60"/>
    <s v="Assignment"/>
    <m/>
    <s v="NEW ERA MANUFACTURING LLC"/>
    <s v="NEW ERA MANUFACTURING LLC"/>
    <s v="CAROLINA"/>
    <s v="Manufacturing of  nutraceutical or 'bioceutical and other OTC products"/>
    <x v="9"/>
    <n v="500000"/>
    <n v="0"/>
    <n v="0"/>
    <n v="500000"/>
    <n v="0"/>
    <n v="1000000"/>
    <s v=""/>
    <n v="1.79"/>
  </r>
  <r>
    <s v="FIE-2017-2018-IIP-0081"/>
    <s v="2018-000212"/>
    <x v="94"/>
    <d v="2017-12-27T00:00:00"/>
    <s v=""/>
    <s v="INCENT ESP"/>
    <s v="Contract"/>
    <s v="N0151"/>
    <s v="NEW HORIZON CASKET CO."/>
    <s v="N0151 - NEW HORIZON CASKET CO."/>
    <s v="SAN JUAN"/>
    <s v="Incentivo de Emergencias Huracanes - Generadores"/>
    <x v="3"/>
    <n v="10000"/>
    <n v="0"/>
    <n v="10000"/>
    <n v="0"/>
    <n v="0"/>
    <n v="45000"/>
    <n v="150800"/>
    <m/>
  </r>
  <r>
    <s v="FIE-2017-2018-IIP-0019"/>
    <s v="2018-000140"/>
    <x v="135"/>
    <d v="2017-11-16T00:00:00"/>
    <s v=""/>
    <s v="INCENT ESP"/>
    <s v="Contract"/>
    <s v="N4821"/>
    <s v="NEW LINE BOX CORP"/>
    <s v="N4821 - NEW LINE BOX CORP"/>
    <s v="SAN JUAN"/>
    <s v="Incentivo de Emergencias Huracanes - Generadores"/>
    <x v="3"/>
    <n v="25000"/>
    <n v="0"/>
    <n v="25000"/>
    <n v="0"/>
    <n v="0"/>
    <s v=""/>
    <s v=""/>
    <m/>
  </r>
  <r>
    <s v="FIE-2017-2018-IIP-0018"/>
    <s v="2018-000148"/>
    <x v="105"/>
    <d v="2017-11-29T00:00:00"/>
    <s v=""/>
    <s v="INCENT ESP"/>
    <s v="Contract"/>
    <s v="N3526"/>
    <s v="NEW MILLION CORP."/>
    <s v="N3526 - NEW MILLION CORP."/>
    <s v="LOIZA"/>
    <s v="Incentivo de Emergencias Huracanes - Generadores"/>
    <x v="3"/>
    <n v="50000"/>
    <n v="0"/>
    <n v="50000"/>
    <n v="0"/>
    <n v="0"/>
    <s v=""/>
    <s v=""/>
    <m/>
  </r>
  <r>
    <s v="FIE-2019-2020-IIP-0025"/>
    <s v="2020-000307"/>
    <x v="7"/>
    <d v="2020-01-28T00:00:00"/>
    <s v=""/>
    <s v="INCENT ESP"/>
    <s v="Contract"/>
    <s v="N3526"/>
    <s v="NEW MILLION CORP."/>
    <s v="N3526 - NEW MILLION CORP."/>
    <s v="LOIZA"/>
    <s v="Manufactura"/>
    <x v="12"/>
    <n v="10000"/>
    <n v="0"/>
    <n v="0"/>
    <n v="10000"/>
    <n v="0"/>
    <s v=""/>
    <s v=""/>
    <m/>
  </r>
  <r>
    <s v="FIE-2018-2019-IIP-0071"/>
    <s v="2020-000090"/>
    <x v="13"/>
    <d v="2019-08-14T00:00:00"/>
    <s v=""/>
    <s v="INCENT ESP"/>
    <s v="Contract"/>
    <s v="N0139"/>
    <s v="NISSI LLC"/>
    <s v="N0139 - NISSI LLC"/>
    <s v="CAGUAS"/>
    <s v="Imprenta y actividades relacionadas"/>
    <x v="5"/>
    <n v="3000"/>
    <n v="0"/>
    <n v="0"/>
    <n v="3000"/>
    <n v="6"/>
    <m/>
    <n v="156069"/>
    <m/>
  </r>
  <r>
    <s v="FIE-2018-2019-IIP-0072"/>
    <s v="2020-000091"/>
    <x v="13"/>
    <d v="2019-08-14T00:00:00"/>
    <s v=""/>
    <s v="INCENT ESP"/>
    <s v="Contract"/>
    <s v="N0139"/>
    <s v="NISSI LLC"/>
    <s v="N0139 - NISSI LLC"/>
    <s v="CAGUAS"/>
    <s v="Imprenta y actividades relacionadas"/>
    <x v="2"/>
    <n v="21500"/>
    <n v="0"/>
    <n v="0"/>
    <n v="21500"/>
    <n v="0"/>
    <n v="32690"/>
    <m/>
    <m/>
  </r>
  <r>
    <s v="FIE-2016-2017-IIP-0004"/>
    <s v="2017-000130"/>
    <x v="6"/>
    <d v="2016-08-15T00:00:00"/>
    <s v=""/>
    <s v="INCENT ESP"/>
    <s v="Contract"/>
    <s v="N7575"/>
    <s v="NORBERTO MARTELL MORALES"/>
    <s v="N7575 - NORBERTO MARTELL MORALES"/>
    <s v="SAN JUAN"/>
    <s v="Programa Artesanía"/>
    <x v="4"/>
    <n v="300"/>
    <n v="0"/>
    <n v="300"/>
    <n v="0"/>
    <n v="0"/>
    <s v=""/>
    <s v=""/>
    <m/>
  </r>
  <r>
    <s v="FIE-2018-2019-IIP-0030"/>
    <s v="2019-000320"/>
    <x v="20"/>
    <d v="2019-03-01T00:00:00"/>
    <s v=""/>
    <s v="INCENT ESP"/>
    <s v="Contract"/>
    <s v="N0161"/>
    <s v="NTS PR, LLC"/>
    <s v="N0161 - NTS PR, LLC"/>
    <s v="SAN JUAN"/>
    <s v="Tecnología"/>
    <x v="7"/>
    <n v="50000"/>
    <n v="0"/>
    <n v="50000"/>
    <n v="0"/>
    <n v="0"/>
    <s v=""/>
    <s v=""/>
    <m/>
  </r>
  <r>
    <s v="FIE-2019-2020-IIP-0021"/>
    <s v="2020-000266"/>
    <x v="7"/>
    <d v="2019-12-06T00:00:00"/>
    <s v=""/>
    <s v="INCENT ESP"/>
    <s v="Contract"/>
    <s v="N0082"/>
    <s v="NUNEZ LUNA, RICARDO"/>
    <s v="N0082 - NUNEZ LUNA, RICARDO"/>
    <s v="SAN JUAN"/>
    <s v="Programa Artesanía"/>
    <x v="4"/>
    <n v="100"/>
    <n v="0"/>
    <n v="100"/>
    <n v="0"/>
    <n v="0"/>
    <s v=""/>
    <s v=""/>
    <m/>
  </r>
  <r>
    <s v="FE-2019-2020-0055"/>
    <s v="En Proceso"/>
    <x v="28"/>
    <s v="En Proceso"/>
    <s v=""/>
    <s v="INCENT FEDE"/>
    <s v="Assignment"/>
    <m/>
    <s v="NYPRO PUERTO RICO, INC....."/>
    <s v="NYPRO PUERTO RICO, INC....."/>
    <s v="CAYEY"/>
    <s v="MANUFACTURA DE PIEZAS PLASTICAS                                                 "/>
    <x v="5"/>
    <n v="150000"/>
    <n v="0"/>
    <n v="0"/>
    <n v="150000"/>
    <n v="60"/>
    <m/>
    <n v="2866667"/>
    <m/>
  </r>
  <r>
    <s v="FE-2019-2020-0054"/>
    <s v="En Proceso"/>
    <x v="28"/>
    <s v="En Proceso"/>
    <s v=""/>
    <s v="INCENT FEDE"/>
    <s v="Assignment"/>
    <m/>
    <s v="NYPRO PUERTO RICO, INC....."/>
    <s v="NYPRO PUERTO RICO, INC....."/>
    <s v="CAYEY"/>
    <s v="MANUFACTURA DE PIEZAS PLASTICAS                                                 "/>
    <x v="2"/>
    <n v="1700000"/>
    <n v="0"/>
    <n v="0"/>
    <n v="1700000"/>
    <n v="0"/>
    <n v="2517000"/>
    <m/>
    <m/>
  </r>
  <r>
    <s v="FIE-2019-2020-IIP-0022"/>
    <s v="2020-000278"/>
    <x v="7"/>
    <d v="2019-12-13T00:00:00"/>
    <s v=""/>
    <s v="INCENT ESP"/>
    <s v="Contract"/>
    <s v="O0177"/>
    <s v="OCASIO CALO, ELIZABETH"/>
    <s v="O0177 - OCASIO CALO, ELIZABETH"/>
    <s v="SAN JUAN"/>
    <s v="Programa Artesanía"/>
    <x v="4"/>
    <n v="998"/>
    <n v="998"/>
    <n v="0"/>
    <n v="0"/>
    <n v="0"/>
    <s v=""/>
    <s v=""/>
    <m/>
  </r>
  <r>
    <s v="FIE-2018-2019-IIP-0030"/>
    <s v="2020-000442"/>
    <x v="20"/>
    <d v="2020-06-17T00:00:00"/>
    <s v=""/>
    <s v="INCENT ESP"/>
    <s v="Contract"/>
    <s v="O0182"/>
    <s v="ODFLEX, LLC"/>
    <s v="O0182 - ODFLEX, LLC"/>
    <s v="SAN JUAN"/>
    <s v="Tecnología"/>
    <x v="7"/>
    <n v="20000"/>
    <n v="0"/>
    <n v="10000"/>
    <n v="10000"/>
    <n v="0"/>
    <s v=""/>
    <s v=""/>
    <m/>
  </r>
  <r>
    <s v="FIE-2016-2017-IIP-0004"/>
    <s v="2017-000184"/>
    <x v="6"/>
    <d v="2016-09-22T00:00:00"/>
    <s v=""/>
    <s v="INCENT ESP"/>
    <s v="Contract"/>
    <s v="O3010"/>
    <s v="OLGA R. COSTA ALFARO"/>
    <s v="O3010 - OLGA R. COSTA ALFARO"/>
    <s v="SAN JUAN"/>
    <s v="Programa Artesanía"/>
    <x v="4"/>
    <n v="1080"/>
    <n v="0"/>
    <n v="1080"/>
    <n v="0"/>
    <n v="0"/>
    <s v=""/>
    <s v=""/>
    <m/>
  </r>
  <r>
    <s v="FIE-2016-2017-IIP-0004"/>
    <s v="2017-000357"/>
    <x v="6"/>
    <d v="2017-02-22T00:00:00"/>
    <s v=""/>
    <s v="INCENT ESP"/>
    <s v="Contract"/>
    <s v="O3010"/>
    <s v="OLGA R. COSTA ALFARO"/>
    <s v="O3010 - OLGA R. COSTA ALFARO"/>
    <s v="SAN JUAN"/>
    <s v="Programa Artesanía"/>
    <x v="4"/>
    <n v="1080"/>
    <n v="0"/>
    <n v="1080"/>
    <n v="0"/>
    <n v="0"/>
    <s v=""/>
    <s v=""/>
    <m/>
  </r>
  <r>
    <s v="FIE-2018-2019-IIP-0030"/>
    <s v="2019-000262-A"/>
    <x v="20"/>
    <d v="2019-03-01T00:00:00"/>
    <s v=""/>
    <s v="INCENT ESP"/>
    <s v="Contract"/>
    <s v="O0172"/>
    <s v="OMICS GLOBAL SOLUTIONS, INC"/>
    <s v="O0172 - OMICS GLOBAL SOLUTIONS, INC"/>
    <s v="SAN JUAN"/>
    <s v="Tecnología"/>
    <x v="7"/>
    <n v="100000"/>
    <n v="0"/>
    <n v="99150.7"/>
    <n v="849.30000000000291"/>
    <n v="0"/>
    <s v=""/>
    <s v=""/>
    <m/>
  </r>
  <r>
    <s v="FIE-2018-2019-IIP-0011"/>
    <s v="2019-000460"/>
    <x v="2"/>
    <d v="2019-05-29T00:00:00"/>
    <s v=""/>
    <s v="INCENT ESP"/>
    <s v="Contract"/>
    <s v="O6500"/>
    <s v="OPTI MANUFACTURING CORP"/>
    <s v="O6500 - OPTI MANUFACTURING CORP"/>
    <s v="SAN JUAN"/>
    <s v="Manufactura"/>
    <x v="12"/>
    <n v="7355"/>
    <n v="0"/>
    <n v="3221.68"/>
    <n v="4133.32"/>
    <n v="0"/>
    <s v=""/>
    <s v=""/>
    <m/>
  </r>
  <r>
    <s v="FE-2018-2019-0099"/>
    <s v="2021-000104"/>
    <x v="68"/>
    <d v="2020-09-14T00:00:00"/>
    <s v=""/>
    <s v="INCENT FEDE"/>
    <s v="Contract"/>
    <s v="O0186"/>
    <s v="OPTUM SERVICES (PUERTO RICO) LLC"/>
    <s v="O0186 - OPTUM SERVICES (PUERTO RICO) LLC"/>
    <s v="SAN JUAN"/>
    <s v="Innovación y servicios de salud "/>
    <x v="5"/>
    <n v="3537500"/>
    <n v="0"/>
    <n v="0"/>
    <n v="3537500"/>
    <n v="1475"/>
    <n v="0"/>
    <n v="38500078"/>
    <m/>
  </r>
  <r>
    <s v="FE-2018-2019-0100"/>
    <s v="2021-000105"/>
    <x v="68"/>
    <d v="2020-09-14T00:00:00"/>
    <s v=""/>
    <s v="INCENT FEDE"/>
    <s v="Contract"/>
    <s v="O0186"/>
    <s v="OPTUM SERVICES (PUERTO RICO) LLC"/>
    <s v="O0186 - OPTUM SERVICES (PUERTO RICO) LLC"/>
    <s v="SAN JUAN"/>
    <s v="Innovación y servicios de salud "/>
    <x v="2"/>
    <n v="1100000"/>
    <n v="0"/>
    <n v="0"/>
    <n v="1100000"/>
    <n v="0"/>
    <n v="2200000"/>
    <m/>
    <m/>
  </r>
  <r>
    <s v="FIE-2016-2017-IIP-0060"/>
    <s v="2019-000287"/>
    <x v="163"/>
    <d v="2019-02-21T00:00:00"/>
    <s v=""/>
    <s v="INCENT ESP"/>
    <s v="Contract"/>
    <s v="O0165"/>
    <s v="ORIGINAL FOOTWEAR LLC"/>
    <s v="O0165 - ORIGINAL FOOTWEAR LLC"/>
    <s v="SAN JUAN"/>
    <s v="Manufactura por contrato de calzado militar"/>
    <x v="18"/>
    <n v="66491.759999999995"/>
    <n v="0"/>
    <n v="45266.879999999997"/>
    <n v="21224.879999999997"/>
    <n v="0"/>
    <s v=""/>
    <s v=""/>
    <m/>
  </r>
  <r>
    <s v="FIE-2016-2017-IIP-0061"/>
    <s v="2019-000312"/>
    <x v="163"/>
    <d v="2019-02-26T00:00:00"/>
    <s v=""/>
    <s v="INCENT ESP"/>
    <s v="Contract"/>
    <s v="O0165"/>
    <s v="ORIGINAL FOOTWEAR LLC"/>
    <s v="O0165 - ORIGINAL FOOTWEAR LLC"/>
    <s v="SAN JUAN"/>
    <s v="Manufactura por contrato de calzado militar"/>
    <x v="18"/>
    <n v="66971.490000000005"/>
    <n v="0"/>
    <n v="47202.69"/>
    <n v="19768.800000000003"/>
    <n v="0"/>
    <s v=""/>
    <s v=""/>
    <m/>
  </r>
  <r>
    <s v="FE-2017-2018-0051"/>
    <s v="2019-000310"/>
    <x v="103"/>
    <d v="2019-02-26T00:00:00"/>
    <s v="25/8/2022"/>
    <s v="INCENT FEDE"/>
    <s v="Contract"/>
    <s v="O0165"/>
    <s v="ORIGINAL FOOTWEAR, INC."/>
    <s v="O0165 - ORIGINAL FOOTWEAR, INC."/>
    <s v="SAN JUAN"/>
    <s v="Manufactura por contrato de calzado militar"/>
    <x v="5"/>
    <n v="200000"/>
    <n v="0"/>
    <n v="0"/>
    <n v="200000"/>
    <n v="100"/>
    <s v=""/>
    <s v=""/>
    <m/>
  </r>
  <r>
    <s v="FE-2017-2018-0050"/>
    <s v="2019-000311"/>
    <x v="103"/>
    <d v="2019-02-26T00:00:00"/>
    <s v="25/8/2022"/>
    <s v="INCENT FEDE"/>
    <s v="Contract"/>
    <s v="O0165"/>
    <s v="ORIGINAL FOOTWEAR, INC."/>
    <s v="O0165 - ORIGINAL FOOTWEAR, INC."/>
    <s v="SAN JUAN"/>
    <s v="Manufactura por contrato de calzado militar"/>
    <x v="5"/>
    <n v="200000"/>
    <n v="0"/>
    <n v="0"/>
    <n v="200000"/>
    <n v="100"/>
    <s v=""/>
    <s v=""/>
    <m/>
  </r>
  <r>
    <s v="FE-2017-2018-0052"/>
    <s v="2019-000313"/>
    <x v="103"/>
    <d v="2019-02-26T00:00:00"/>
    <s v="25/8/2022"/>
    <s v="INCENT FEDE"/>
    <s v="Contract"/>
    <s v="O0165"/>
    <s v="ORIGINAL FOOTWEAR, INC."/>
    <s v="O0165 - ORIGINAL FOOTWEAR, INC."/>
    <s v="SAN JUAN"/>
    <s v="Manufactura por contrato de calzado militar"/>
    <x v="5"/>
    <n v="10000"/>
    <n v="0"/>
    <n v="0"/>
    <n v="10000"/>
    <n v="5"/>
    <s v=""/>
    <s v=""/>
    <m/>
  </r>
  <r>
    <s v="FE-2017-2018-0053"/>
    <s v="2019-000309"/>
    <x v="103"/>
    <d v="2019-02-26T00:00:00"/>
    <s v="25/2/2024"/>
    <s v="INCENT FEDE"/>
    <s v="Contract"/>
    <s v="O0165"/>
    <s v="ORIGINAL FOOTWEAR, INC."/>
    <s v="O0165 - ORIGINAL FOOTWEAR, INC."/>
    <s v="SAN JUAN"/>
    <s v="Manufactura por contrato de calzado militar"/>
    <x v="1"/>
    <n v="500000"/>
    <n v="0"/>
    <n v="0"/>
    <n v="500000"/>
    <n v="0"/>
    <s v=""/>
    <s v=""/>
    <m/>
  </r>
  <r>
    <s v="FIE-2017-2018-IIP-0087"/>
    <s v="2018-000225"/>
    <x v="130"/>
    <d v="2017-12-28T00:00:00"/>
    <s v=""/>
    <s v="INCENT ESP"/>
    <s v="Contract"/>
    <s v="O0138"/>
    <s v="ORNAMENTACION QUINTANA, INC."/>
    <s v="O0138 - ORNAMENTACION QUINTANA, INC."/>
    <s v="DORADO"/>
    <s v="Incentivo de Emergencias Huracanes - Generadores"/>
    <x v="3"/>
    <n v="4500"/>
    <n v="4500"/>
    <n v="0"/>
    <n v="0"/>
    <n v="0"/>
    <s v=""/>
    <s v=""/>
    <m/>
  </r>
  <r>
    <s v="FIE-2019-2020-IIP-0028"/>
    <s v="2020-000329"/>
    <x v="164"/>
    <d v="2020-02-07T00:00:00"/>
    <s v=""/>
    <s v="INCENT ESP"/>
    <s v="Contract"/>
    <s v="O0138"/>
    <s v="ORNAMENTACION QUINTANA, INC."/>
    <s v="O0138 - ORNAMENTACION QUINTANA, INC."/>
    <s v="DORADO"/>
    <s v="Productos derivados de cemento"/>
    <x v="5"/>
    <n v="2500"/>
    <n v="0"/>
    <n v="0"/>
    <n v="2500"/>
    <n v="5"/>
    <m/>
    <n v="75400"/>
    <m/>
  </r>
  <r>
    <s v="FIE-2019-2020-IIP-0029"/>
    <s v="2020-000328"/>
    <x v="164"/>
    <d v="2020-02-07T00:00:00"/>
    <s v=""/>
    <s v="INCENT ESP"/>
    <s v="Contract"/>
    <s v="O0138"/>
    <s v="ORNAMENTACION QUINTANA, INC."/>
    <s v="O0138 - ORNAMENTACION QUINTANA, INC."/>
    <s v="DORADO"/>
    <s v="Productos derivados de cemento"/>
    <x v="2"/>
    <n v="50000"/>
    <n v="0"/>
    <n v="17411.849999999999"/>
    <n v="32588.15"/>
    <n v="0"/>
    <n v="174000"/>
    <m/>
    <m/>
  </r>
  <r>
    <s v="FIE-2016-2017-IIP-0004"/>
    <s v="2017-000182"/>
    <x v="6"/>
    <d v="2016-09-22T00:00:00"/>
    <s v=""/>
    <s v="INCENT ESP"/>
    <s v="Contract"/>
    <s v="O0068"/>
    <s v="ORTA RIVERA, HECTOR"/>
    <s v="O0068 - ORTA RIVERA, HECTOR"/>
    <s v="SAN JUAN"/>
    <s v="Programa Artesanía"/>
    <x v="4"/>
    <n v="1080"/>
    <n v="0"/>
    <n v="1080"/>
    <n v="0"/>
    <n v="0"/>
    <s v=""/>
    <s v=""/>
    <m/>
  </r>
  <r>
    <s v="FIE-2016-2017-IIP-0004"/>
    <s v="2017-000358"/>
    <x v="6"/>
    <d v="2017-02-22T00:00:00"/>
    <s v=""/>
    <s v="INCENT ESP"/>
    <s v="Contract"/>
    <s v="O0068"/>
    <s v="ORTA RIVERA, HECTOR"/>
    <s v="O0068 - ORTA RIVERA, HECTOR"/>
    <s v="SAN JUAN"/>
    <s v="Programa Artesanía"/>
    <x v="4"/>
    <n v="1080"/>
    <n v="0"/>
    <n v="1080"/>
    <n v="0"/>
    <n v="0"/>
    <s v=""/>
    <s v=""/>
    <m/>
  </r>
  <r>
    <s v="FIE-2017-2018-IIP-0004"/>
    <s v="2018-000125"/>
    <x v="24"/>
    <d v="2017-10-30T00:00:00"/>
    <s v=""/>
    <s v="INCENT ESP"/>
    <s v="Contract"/>
    <s v="O0068"/>
    <s v="ORTA RIVERA, HECTOR"/>
    <s v="O0068 - ORTA RIVERA, HECTOR"/>
    <s v="SAN JUAN"/>
    <s v="Programa Artesanía"/>
    <x v="4"/>
    <n v="1080"/>
    <n v="0"/>
    <n v="1080"/>
    <n v="0"/>
    <n v="0"/>
    <s v=""/>
    <s v=""/>
    <m/>
  </r>
  <r>
    <s v="FIE-2019-2020-IIE-0127"/>
    <s v="En Proceso"/>
    <x v="50"/>
    <s v="En Proceso"/>
    <s v=""/>
    <s v="INCENT ESP"/>
    <s v="Assignment"/>
    <m/>
    <s v="ORTHO-TAIN"/>
    <s v="ORTHO-TAIN"/>
    <s v="TOA ALTA"/>
    <s v="MANUFACTURA DE DISPOSITIVOS ORTODÓNCICOS"/>
    <x v="5"/>
    <n v="45000"/>
    <n v="0"/>
    <n v="0"/>
    <n v="45000"/>
    <n v="4"/>
    <n v="255000"/>
    <n v="1195000"/>
    <m/>
  </r>
  <r>
    <s v="FIE-2016-2017-IEE-0012"/>
    <s v="2016-000719-B"/>
    <x v="57"/>
    <d v="2016-09-06T00:00:00"/>
    <s v=""/>
    <s v="INCENT ESP"/>
    <s v="Contract"/>
    <s v="O9000"/>
    <s v="ORTIZ KITCHEN MFG, INC."/>
    <s v="O9000 - ORTIZ KITCHEN MFG, INC."/>
    <s v="SAN JUAN"/>
    <s v="Muebles"/>
    <x v="6"/>
    <n v="5357"/>
    <n v="0"/>
    <n v="5357"/>
    <n v="0"/>
    <n v="0"/>
    <s v=""/>
    <s v=""/>
    <m/>
  </r>
  <r>
    <s v="FIE-2018-2019-IEE-0043"/>
    <s v="2019-000414"/>
    <x v="69"/>
    <d v="2019-04-26T00:00:00"/>
    <s v=""/>
    <s v="INCENT ESP"/>
    <s v="Contract"/>
    <s v="O9000"/>
    <s v="ORTIZ KITCHEN MFG, INC."/>
    <s v="O9000 - ORTIZ KITCHEN MFG, INC."/>
    <s v="SAN JUAN"/>
    <s v="Muebles"/>
    <x v="6"/>
    <n v="8881"/>
    <n v="0"/>
    <n v="8881"/>
    <n v="0"/>
    <n v="0"/>
    <s v=""/>
    <s v=""/>
    <m/>
  </r>
  <r>
    <s v="FIE-2018-2019-IEE-0070"/>
    <s v="2019-000414-A"/>
    <x v="12"/>
    <d v="2019-07-09T00:00:00"/>
    <s v=""/>
    <s v="INCENT ESP"/>
    <s v="Contract"/>
    <s v="O9000"/>
    <s v="ORTIZ KITCHEN MFG, INC."/>
    <s v="O9000 - ORTIZ KITCHEN MFG, INC."/>
    <s v="SAN JUAN"/>
    <s v="Muebles"/>
    <x v="6"/>
    <n v="7449"/>
    <n v="0"/>
    <n v="0"/>
    <n v="7449"/>
    <n v="0"/>
    <s v=""/>
    <s v=""/>
    <m/>
  </r>
  <r>
    <s v="FIE-2019-2020-IEE-0043"/>
    <s v="2019-000414-B"/>
    <x v="46"/>
    <d v="2020-02-24T00:00:00"/>
    <s v=""/>
    <s v="INCENT ESP"/>
    <s v="Contract"/>
    <s v="O9000"/>
    <s v="ORTIZ KITCHEN MFG, INC."/>
    <s v="O9000 - ORTIZ KITCHEN MFG, INC."/>
    <s v="SAN JUAN"/>
    <s v="Muebles"/>
    <x v="6"/>
    <n v="4815"/>
    <n v="0"/>
    <n v="0"/>
    <n v="4815"/>
    <n v="0"/>
    <s v=""/>
    <s v=""/>
    <m/>
  </r>
  <r>
    <s v="FIE-2019-2020-IEE-0084"/>
    <s v="2019-000414-C"/>
    <x v="14"/>
    <d v="2020-02-24T00:00:00"/>
    <s v=""/>
    <s v="INCENT ESP"/>
    <s v="Contract"/>
    <s v="O9000"/>
    <s v="ORTIZ KITCHEN MFG, INC."/>
    <s v="O9000 - ORTIZ KITCHEN MFG, INC."/>
    <s v="SAN JUAN"/>
    <s v="Muebles"/>
    <x v="6"/>
    <n v="3796"/>
    <n v="0"/>
    <n v="0"/>
    <n v="3796"/>
    <n v="0"/>
    <s v=""/>
    <s v=""/>
    <m/>
  </r>
  <r>
    <s v="FIE-2016-2017-IIP-0005"/>
    <s v="2017-000429"/>
    <x v="6"/>
    <d v="2017-05-03T00:00:00"/>
    <s v=""/>
    <s v="INCENT ESP"/>
    <s v="Contract"/>
    <s v="O0166"/>
    <s v="ORTIZ SANTOS, RAFAEL"/>
    <s v="O0166 - ORTIZ SANTOS, RAFAEL"/>
    <s v="SAN JUAN"/>
    <s v="Programa Artesanía"/>
    <x v="4"/>
    <n v="609.95000000000005"/>
    <n v="609.95000000000005"/>
    <n v="0"/>
    <n v="0"/>
    <n v="0"/>
    <s v=""/>
    <s v=""/>
    <m/>
  </r>
  <r>
    <s v="FIE-2016-2017-IIP-0004"/>
    <s v="2017-000199"/>
    <x v="6"/>
    <d v="2016-10-14T00:00:00"/>
    <s v=""/>
    <s v="INCENT ESP"/>
    <s v="Contract"/>
    <s v="O0164"/>
    <s v="ORTIZ TORRES, EVELYN "/>
    <s v="O0164 - ORTIZ TORRES, EVELYN "/>
    <s v="SAN JUAN"/>
    <s v="Programa Artesanía"/>
    <x v="4"/>
    <n v="1080"/>
    <n v="0"/>
    <n v="1080"/>
    <n v="0"/>
    <n v="0"/>
    <s v=""/>
    <s v=""/>
    <m/>
  </r>
  <r>
    <s v="FIE-2016-2017-IIP-0004"/>
    <s v="2017-000364"/>
    <x v="6"/>
    <d v="2017-02-22T00:00:00"/>
    <s v=""/>
    <s v="INCENT ESP"/>
    <s v="Contract"/>
    <s v="O0164"/>
    <s v="ORTIZ TORRES, EVELYN "/>
    <s v="O0164 - ORTIZ TORRES, EVELYN "/>
    <s v="SAN JUAN"/>
    <s v="Programa Artesanía"/>
    <x v="4"/>
    <n v="1080"/>
    <n v="0"/>
    <n v="1080"/>
    <n v="0"/>
    <n v="0"/>
    <s v=""/>
    <s v=""/>
    <m/>
  </r>
  <r>
    <s v="FIE-2017-2018-IIP-0016"/>
    <s v="2018-000144"/>
    <x v="105"/>
    <d v="2017-11-16T00:00:00"/>
    <s v=""/>
    <s v="INCENT ESP"/>
    <s v="Contract"/>
    <s v="O0017"/>
    <s v="OSMI ENTERPRISES, INC. DBA SIGNS &amp; MEDIA"/>
    <s v="O0017 - OSMI ENTERPRISES, INC. DBA SIGNS &amp; MEDIA"/>
    <s v="SAN JUAN"/>
    <s v="Incentivo de Emergencias Huracanes - Generadores"/>
    <x v="3"/>
    <n v="25000"/>
    <n v="0"/>
    <n v="25000"/>
    <n v="0"/>
    <n v="0"/>
    <s v=""/>
    <s v=""/>
    <m/>
  </r>
  <r>
    <s v="FIE-2016-2017-IIP-0005"/>
    <s v="2017-000394"/>
    <x v="6"/>
    <d v="2017-04-03T00:00:00"/>
    <s v=""/>
    <s v="INCENT ESP"/>
    <s v="Contract"/>
    <s v="O0084"/>
    <s v="OSORIO VALENCIA, EDWIN"/>
    <s v="O0084 - OSORIO VALENCIA, EDWIN"/>
    <s v="SAN JUAN"/>
    <s v="Programa Artesanía"/>
    <x v="4"/>
    <n v="999"/>
    <n v="369.84"/>
    <n v="629.16"/>
    <n v="0"/>
    <n v="0"/>
    <s v=""/>
    <s v=""/>
    <m/>
  </r>
  <r>
    <s v="FIE-2016-2017-IIP-0006"/>
    <s v="2017-000436"/>
    <x v="6"/>
    <d v="2017-05-11T00:00:00"/>
    <s v=""/>
    <s v="INCENT ESP"/>
    <s v="Contract"/>
    <s v="O0084"/>
    <s v="OSORIO VALENCIA, EDWIN"/>
    <s v="O0084 - OSORIO VALENCIA, EDWIN"/>
    <s v="SAN JUAN"/>
    <s v="Programa Artesanía"/>
    <x v="4"/>
    <n v="1170"/>
    <n v="0"/>
    <n v="1170"/>
    <n v="0"/>
    <n v="0"/>
    <s v=""/>
    <s v=""/>
    <m/>
  </r>
  <r>
    <s v="FIE-2018-2019-IIP-0030"/>
    <s v="2021-000006"/>
    <x v="20"/>
    <d v="2020-07-10T00:00:00"/>
    <s v=""/>
    <s v="INCENT ESP"/>
    <s v="Contract"/>
    <s v="O0184"/>
    <s v="OUTCOME PROJECT, LLC"/>
    <s v="O0184 - OUTCOME PROJECT, LLC"/>
    <s v="SAN JUAN"/>
    <s v="Tecnología"/>
    <x v="7"/>
    <n v="2000"/>
    <n v="0"/>
    <n v="2000"/>
    <n v="0"/>
    <n v="0"/>
    <s v=""/>
    <s v=""/>
    <m/>
  </r>
  <r>
    <s v="FIE-2017-2018-IIP-0008"/>
    <s v="2019-000161"/>
    <x v="24"/>
    <d v="2018-10-17T00:00:00"/>
    <s v=""/>
    <s v="INCENT ESP"/>
    <s v="Contract"/>
    <s v="O0000"/>
    <s v="OUTSOURCING SOLUTIONS"/>
    <s v="O0000 - OUTSOURCING SOLUTIONS"/>
    <s v="SAN JUAN"/>
    <s v="Servicios"/>
    <x v="0"/>
    <n v="10000"/>
    <n v="0"/>
    <n v="0"/>
    <n v="10000"/>
    <n v="0"/>
    <s v=""/>
    <s v=""/>
    <m/>
  </r>
  <r>
    <s v="FE-2018-2019-0063"/>
    <s v="2019-000290"/>
    <x v="32"/>
    <d v="2019-02-22T00:00:00"/>
    <s v="21/2/2025"/>
    <s v="INCENT FEDE"/>
    <s v="Contract"/>
    <s v="P0399"/>
    <s v="P.V.CASA PR LLC"/>
    <s v="P0399 - P.V.CASA PR LLC"/>
    <s v="SAN JUAN"/>
    <s v="Manufactura de paneles de PVC y WPVC"/>
    <x v="5"/>
    <n v="350000"/>
    <n v="0"/>
    <n v="0"/>
    <n v="350000"/>
    <n v="100"/>
    <m/>
    <n v="2538640"/>
    <m/>
  </r>
  <r>
    <s v="FE-2018-2019-0064"/>
    <s v="2019-000289"/>
    <x v="32"/>
    <d v="2019-02-22T00:00:00"/>
    <s v="21/2/2024"/>
    <s v="INCENT FEDE"/>
    <s v="Contract"/>
    <s v="P0399"/>
    <s v="P.V.CASA PR LLC"/>
    <s v="P0399 - P.V.CASA PR LLC"/>
    <s v="SAN JUAN"/>
    <s v="Manufactura de paneles de PVC y WPVC"/>
    <x v="2"/>
    <n v="500000"/>
    <n v="0"/>
    <n v="0"/>
    <n v="500000"/>
    <n v="0"/>
    <n v="125000"/>
    <m/>
    <m/>
  </r>
  <r>
    <s v="FIE-2018-2019-IIP-0013"/>
    <s v="2020-000040"/>
    <x v="2"/>
    <d v="2019-07-19T00:00:00"/>
    <s v=""/>
    <s v="INCENT ESP"/>
    <s v="Contract"/>
    <s v="P0414"/>
    <s v="PACHECO MARTI, JENNIFER"/>
    <s v="P0414 - PACHECO MARTI, JENNIFER"/>
    <s v="SAN JUAN"/>
    <s v="Programa Artesanía"/>
    <x v="4"/>
    <n v="944.98"/>
    <n v="119.89"/>
    <n v="825.09"/>
    <n v="0"/>
    <n v="0"/>
    <s v=""/>
    <s v=""/>
    <m/>
  </r>
  <r>
    <s v="FIE-2018-2019-IIP-0012"/>
    <s v="2019-000441"/>
    <x v="2"/>
    <d v="2019-05-07T00:00:00"/>
    <s v=""/>
    <s v="INCENT ESP"/>
    <s v="Contract"/>
    <s v="P0417"/>
    <s v="PAGAN AYALA, WILBERT"/>
    <s v="P0417 - PAGAN AYALA, WILBERT"/>
    <s v="JUANA DIAZ"/>
    <s v="Programa Artesanía"/>
    <x v="4"/>
    <n v="1080"/>
    <n v="0"/>
    <n v="1080"/>
    <n v="0"/>
    <n v="0"/>
    <s v=""/>
    <s v=""/>
    <m/>
  </r>
  <r>
    <s v="FE-2018-2019-0113"/>
    <s v="2021-000033"/>
    <x v="142"/>
    <d v="2020-08-04T00:00:00"/>
    <d v="2025-03-08T00:00:00"/>
    <s v="INCENT FEDE"/>
    <s v="Contract"/>
    <s v="P3690"/>
    <s v="PALL LIFE SCIENCES PUERTO RICO, LLC"/>
    <s v="P3690 - PALL LIFE SCIENCES PUERTO RICO, LLC"/>
    <s v="FAJARDO"/>
    <s v="FILTROS PARA ALIMENTOS, BEBIDAS Y SISTEMAS DE AGUA                              "/>
    <x v="5"/>
    <n v="144000"/>
    <n v="0"/>
    <n v="0"/>
    <n v="144000"/>
    <n v="46"/>
    <m/>
    <n v="1790000"/>
    <m/>
  </r>
  <r>
    <s v="FE-2018-2019-0114"/>
    <s v="2021-000031"/>
    <x v="142"/>
    <d v="2020-08-04T00:00:00"/>
    <d v="2025-03-08T00:00:00"/>
    <s v="INCENT FEDE"/>
    <s v="Contract"/>
    <s v="P3690"/>
    <s v="PALL LIFE SCIENCES PUERTO RICO, LLC"/>
    <s v="P3690 - PALL LIFE SCIENCES PUERTO RICO, LLC"/>
    <s v="FAJARDO"/>
    <s v="FILTROS PARA ALIMENTOS, BEBIDAS Y SISTEMAS DE AGUA                              "/>
    <x v="1"/>
    <n v="1000000"/>
    <n v="0"/>
    <n v="0"/>
    <n v="1000000"/>
    <n v="0"/>
    <m/>
    <m/>
    <m/>
  </r>
  <r>
    <s v="FE-2018-2019-0115"/>
    <s v="2021-000032"/>
    <x v="142"/>
    <d v="2020-08-04T00:00:00"/>
    <d v="2025-03-08T00:00:00"/>
    <s v="INCENT FEDE"/>
    <s v="Contract"/>
    <s v="P3690"/>
    <s v="PALL LIFE SCIENCES PUERTO RICO, LLC"/>
    <s v="P3690 - PALL LIFE SCIENCES PUERTO RICO, LLC"/>
    <s v="FAJARDO"/>
    <s v="FILTROS PARA ALIMENTOS, BEBIDAS Y SISTEMAS DE AGUA                              "/>
    <x v="2"/>
    <n v="1000000"/>
    <n v="0"/>
    <n v="0"/>
    <n v="1000000"/>
    <n v="0"/>
    <n v="9000000"/>
    <m/>
    <m/>
  </r>
  <r>
    <s v="FE-2018-2019-0083"/>
    <s v="2020-000129"/>
    <x v="13"/>
    <d v="2020-09-21T00:00:00"/>
    <s v=""/>
    <s v="INCENT FEDE"/>
    <s v="Contract"/>
    <s v="P6625"/>
    <s v="PAN PEPIN, INC."/>
    <s v="P6625 - PAN PEPIN, INC."/>
    <s v="BAYAMON"/>
    <s v="Alimentos"/>
    <x v="5"/>
    <n v="465000"/>
    <n v="0"/>
    <n v="0"/>
    <n v="465000"/>
    <n v="36"/>
    <m/>
    <n v="542580"/>
    <m/>
  </r>
  <r>
    <s v="FE-2018-2019-0084"/>
    <s v="2019-000455"/>
    <x v="13"/>
    <d v="2019-05-23T00:00:00"/>
    <s v="22/5/2024"/>
    <s v="INCENT FEDE"/>
    <s v="Contract"/>
    <s v="P6625"/>
    <s v="PAN PEPIN, INC."/>
    <s v="P6625 - PAN PEPIN, INC."/>
    <s v="BAYAMON"/>
    <s v="Alimentos"/>
    <x v="2"/>
    <n v="750000"/>
    <n v="0"/>
    <n v="0"/>
    <n v="750000"/>
    <n v="0"/>
    <n v="18365000"/>
    <m/>
    <m/>
  </r>
  <r>
    <s v="FIE-2018-2019-IIP-0012"/>
    <s v="2019-000083"/>
    <x v="2"/>
    <d v="2018-08-17T00:00:00"/>
    <s v=""/>
    <s v="INCENT ESP"/>
    <s v="Contract"/>
    <s v="P0390"/>
    <s v="PANADERIA LA SEVILLANA, INC."/>
    <s v="P0390 - PANADERIA LA SEVILLANA, INC."/>
    <s v="SAN JUAN"/>
    <s v="Programa Artesanía"/>
    <x v="4"/>
    <n v="395"/>
    <n v="0"/>
    <n v="395"/>
    <n v="0"/>
    <n v="0"/>
    <s v=""/>
    <s v=""/>
    <m/>
  </r>
  <r>
    <s v="FIE-2019-2020-IIP-0021"/>
    <s v="2020-000179"/>
    <x v="7"/>
    <d v="2019-10-15T00:00:00"/>
    <s v=""/>
    <s v="INCENT ESP"/>
    <s v="Contract"/>
    <s v="P0390"/>
    <s v="PANADERIA LA SEVILLANA, INC."/>
    <s v="P0390 - PANADERIA LA SEVILLANA, INC."/>
    <s v="SAN JUAN"/>
    <s v="Programa Artesanía"/>
    <x v="4"/>
    <n v="672"/>
    <n v="0"/>
    <n v="672"/>
    <n v="0"/>
    <n v="0"/>
    <s v=""/>
    <s v=""/>
    <m/>
  </r>
  <r>
    <s v="FIE-2019-2020-IIP-0030"/>
    <s v="2020-000245"/>
    <x v="164"/>
    <d v="2019-11-25T00:00:00"/>
    <s v=""/>
    <s v="INCENT ESP"/>
    <s v="Contract"/>
    <s v="P0429"/>
    <s v="PAPA PEDRO, INC."/>
    <s v="P0429 - PAPA PEDRO, INC."/>
    <s v="MARICAO"/>
    <s v="Servicios"/>
    <x v="5"/>
    <n v="4800"/>
    <n v="0"/>
    <n v="0"/>
    <n v="4800"/>
    <n v="3"/>
    <n v="1500"/>
    <n v="24000"/>
    <m/>
  </r>
  <r>
    <s v="FIE60-2020-2021-0017"/>
    <s v="En Proceso"/>
    <x v="66"/>
    <s v="En Proceso"/>
    <s v=""/>
    <s v="INCENT LEY 60"/>
    <s v="Assignment"/>
    <m/>
    <s v="PARGUERA BREWING CO. LLC"/>
    <s v="PARGUERA BREWING CO. LLC"/>
    <s v="LAJAS"/>
    <s v="CRAFT BREWING MANUFACTURING"/>
    <x v="8"/>
    <n v="9600"/>
    <n v="0"/>
    <n v="0"/>
    <n v="9600"/>
    <n v="6"/>
    <m/>
    <n v="90480"/>
    <n v="1.3"/>
  </r>
  <r>
    <s v="FIE60-2020-2021-0018"/>
    <s v="En Proceso"/>
    <x v="66"/>
    <s v="En Proceso"/>
    <s v=""/>
    <s v="INCENT LEY 60"/>
    <s v="Assignment"/>
    <m/>
    <s v="PARGUERA BREWING CO. LLC"/>
    <s v="PARGUERA BREWING CO. LLC"/>
    <s v="LAJAS"/>
    <s v="CRAFT BREWING MANUFACTURING"/>
    <x v="9"/>
    <n v="50000"/>
    <n v="0"/>
    <n v="0"/>
    <n v="50000"/>
    <n v="0"/>
    <n v="242191"/>
    <m/>
    <n v="1.3"/>
  </r>
  <r>
    <s v="FIE-2018-2019-IIP-0012"/>
    <s v="2019-000428"/>
    <x v="2"/>
    <d v="2019-05-02T00:00:00"/>
    <s v=""/>
    <s v="INCENT ESP"/>
    <s v="Contract"/>
    <s v="P0409"/>
    <s v="PARROQUIA SAN JOSE OBRERO"/>
    <s v="P0409 - PARROQUIA SAN JOSE OBRERO"/>
    <s v="CANOVANAS"/>
    <s v="Programa Artesanía"/>
    <x v="4"/>
    <n v="1325"/>
    <n v="0"/>
    <n v="1325"/>
    <n v="0"/>
    <n v="0"/>
    <s v=""/>
    <s v=""/>
    <m/>
  </r>
  <r>
    <s v="FIE-2017-2018-IIP-0009"/>
    <s v="2018-000385"/>
    <x v="24"/>
    <d v="2018-06-11T00:00:00"/>
    <s v=""/>
    <s v="INCENT ESP"/>
    <s v="Contract"/>
    <s v="P1000"/>
    <s v="PASTELERIA CIDRINES, INC."/>
    <s v="P1000 - PASTELERIA LOS CIDRINES, INC."/>
    <s v="ARECIBO"/>
    <s v="Alimentos"/>
    <x v="0"/>
    <n v="50000"/>
    <n v="0"/>
    <n v="50000"/>
    <n v="0"/>
    <n v="0"/>
    <s v=""/>
    <s v=""/>
    <m/>
  </r>
  <r>
    <s v="FE-2019-2020-0085"/>
    <s v="2020-000285"/>
    <x v="14"/>
    <d v="2019-12-30T00:00:00"/>
    <s v="29/12/2024"/>
    <s v="INCENT FEDE"/>
    <s v="Contract"/>
    <s v="P5810"/>
    <s v="PASTELERIA CIDRINES, INC."/>
    <s v="P5810 - PASTELERIA CIDRINES, INC."/>
    <s v="ARECIBO"/>
    <s v="Alimentos"/>
    <x v="0"/>
    <n v="750000"/>
    <n v="0"/>
    <n v="55015"/>
    <n v="694985"/>
    <n v="0"/>
    <n v="6443240"/>
    <n v="1200000"/>
    <m/>
  </r>
  <r>
    <s v="FE-2019-2020-0084"/>
    <s v="2020-000284-A"/>
    <x v="14"/>
    <d v="2020-10-05T00:00:00"/>
    <s v=""/>
    <s v="INCENT FEDE"/>
    <s v="Contract"/>
    <s v="P5810"/>
    <s v="PASTELERIA CIDRINES, INC."/>
    <s v="P5810 - PASTELERIA CIDRINES, INC."/>
    <s v="ARECIBO"/>
    <s v="Alimentos"/>
    <x v="2"/>
    <n v="1850000"/>
    <n v="0"/>
    <n v="876202.88"/>
    <n v="973797.12"/>
    <n v="0"/>
    <n v="6443240"/>
    <n v="1200000"/>
    <m/>
  </r>
  <r>
    <s v="FIE-2017-2018-IIP-0037"/>
    <s v="2018-000135"/>
    <x v="75"/>
    <d v="2017-11-15T00:00:00"/>
    <s v=""/>
    <s v="INCENT ESP"/>
    <s v="Contract"/>
    <s v="P1200"/>
    <s v="PASTRY FOOD PRODUCTS, INC."/>
    <s v="P1200 - PASTRY FOOD PRODUCTS, INC."/>
    <s v="SAN JUAN"/>
    <s v="Incentivo de Emergencias Huracanes - Generadores"/>
    <x v="3"/>
    <n v="25000"/>
    <n v="0"/>
    <n v="25000"/>
    <n v="0"/>
    <n v="0"/>
    <s v=""/>
    <s v=""/>
    <m/>
  </r>
  <r>
    <s v="FE-2019-2020-0025"/>
    <s v="2020-000192"/>
    <x v="4"/>
    <d v="2019-10-31T00:00:00"/>
    <s v="30/10/2024"/>
    <s v="INCENT FEDE"/>
    <s v="Contract"/>
    <s v="P6610"/>
    <s v="PENTAQ MFG. CORP."/>
    <s v="P6610 - PENTAQ MFG. CORP."/>
    <s v="SABANA GRANDE"/>
    <s v="MILITARY UNIFORMS AND ACCESORIES MANUFACTURING"/>
    <x v="5"/>
    <n v="700000"/>
    <n v="0"/>
    <n v="114000"/>
    <n v="586000"/>
    <n v="160"/>
    <m/>
    <n v="1809600"/>
    <m/>
  </r>
  <r>
    <s v="FE-2019-2020-0027"/>
    <s v="2020-000194"/>
    <x v="4"/>
    <d v="2019-10-31T00:00:00"/>
    <s v="30/10/2024"/>
    <s v="INCENT FEDE"/>
    <s v="Contract"/>
    <s v="P6610"/>
    <s v="PENTAQ MFG. CORP."/>
    <s v="P6610 - PENTAQ MFG. CORP."/>
    <s v="SABANA GRANDE"/>
    <s v="MILITARY UNIFORMS AND ACCESORIES MANUFACTURING"/>
    <x v="5"/>
    <n v="286000"/>
    <n v="0"/>
    <n v="10000"/>
    <n v="276000"/>
    <n v="143"/>
    <m/>
    <n v="2156440"/>
    <m/>
  </r>
  <r>
    <s v="FE-2019-2020-0026"/>
    <s v="2020-000193"/>
    <x v="4"/>
    <d v="2019-10-31T00:00:00"/>
    <s v="30/10/2024"/>
    <s v="INCENT FEDE"/>
    <s v="Contract"/>
    <s v="P6610"/>
    <s v="PENTAQ MFG. CORP."/>
    <s v="P6610 - PENTAQ MFG. CORP."/>
    <s v="SABANA GRANDE"/>
    <s v="MILITARY UNIFORMS AND ACCESORIES MANUFACTURING"/>
    <x v="2"/>
    <n v="372550"/>
    <n v="0"/>
    <n v="0"/>
    <n v="372550"/>
    <n v="0"/>
    <n v="100000"/>
    <m/>
    <m/>
  </r>
  <r>
    <s v="FIE60-2020-2021-0036"/>
    <s v="2021-000127"/>
    <x v="39"/>
    <d v="2020-09-25T00:00:00"/>
    <d v="2025-09-24T00:00:00"/>
    <s v="INCENT LEY 60"/>
    <s v="Contract"/>
    <s v="P6638"/>
    <s v="PEPSI-COLA PUERTO RICO DISTRIBUTING LLC"/>
    <s v="P6638 - PEPSI-COLA PUERTO RICO DISTRIBUTING LLC"/>
    <s v="TOA BAJA"/>
    <s v="BEVERAGE MANUFACTURING"/>
    <x v="8"/>
    <n v="1000000"/>
    <n v="0"/>
    <n v="0"/>
    <n v="1000000"/>
    <n v="20"/>
    <m/>
    <n v="375000"/>
    <n v="0.49"/>
  </r>
  <r>
    <s v="FIE60-2020-2021-0037"/>
    <s v="2021-000128"/>
    <x v="39"/>
    <d v="2020-09-25T00:00:00"/>
    <d v="2025-09-24T00:00:00"/>
    <s v="INCENT LEY 60"/>
    <s v="Contract"/>
    <s v="P6638"/>
    <s v="PEPSI-COLA PUERTO RICO DISTRIBUTING LLC"/>
    <s v="P6638 - PEPSI-COLA PUERTO RICO DISTRIBUTING LLC"/>
    <s v="TOA BAJA"/>
    <s v="BEVERAGE MANUFACTURING"/>
    <x v="9"/>
    <n v="4000000"/>
    <n v="0"/>
    <n v="0"/>
    <n v="4000000"/>
    <n v="0"/>
    <n v="9354800"/>
    <m/>
    <n v="0.49"/>
  </r>
  <r>
    <s v="FIE-2019-2020-IIP-0022"/>
    <s v="2020-000273"/>
    <x v="7"/>
    <d v="2019-12-12T00:00:00"/>
    <s v=""/>
    <s v="INCENT ESP"/>
    <s v="Contract"/>
    <s v="P0098"/>
    <s v="PEREZ CHILENO, ALBINO"/>
    <s v="P0098 - PEREZ CHILENO, ALBINO"/>
    <s v="SAN JUAN"/>
    <s v="Programa Artesanía"/>
    <x v="4"/>
    <n v="1000"/>
    <n v="0"/>
    <n v="0"/>
    <n v="1000"/>
    <n v="0"/>
    <s v=""/>
    <s v=""/>
    <m/>
  </r>
  <r>
    <s v="FIE-2018-2019-IIP-0013"/>
    <s v="2019-000506"/>
    <x v="2"/>
    <d v="2019-06-27T00:00:00"/>
    <s v=""/>
    <s v="INCENT ESP"/>
    <s v="Contract"/>
    <s v="P0243"/>
    <s v="PEREZ GONZALEZ, CARMEN"/>
    <s v="P0243 - PEREZ GONZALEZ, CARMEN"/>
    <s v="SAN JUAN"/>
    <s v="Programa Artesanía"/>
    <x v="4"/>
    <n v="1000"/>
    <n v="0"/>
    <n v="1000"/>
    <n v="0"/>
    <n v="0"/>
    <s v=""/>
    <s v=""/>
    <m/>
  </r>
  <r>
    <s v="FIE-2018-2019-IIP-0012"/>
    <s v="2019-000149"/>
    <x v="2"/>
    <d v="2018-10-01T00:00:00"/>
    <s v=""/>
    <s v="INCENT ESP"/>
    <s v="Contract"/>
    <s v="P0392"/>
    <s v="PEREZ GONZALEZ, WILFREDO"/>
    <s v="P0392 - PEREZ GONZALEZ, WILFREDO"/>
    <s v="SAN JUAN"/>
    <s v="Programa Artesanía"/>
    <x v="4"/>
    <n v="2500"/>
    <n v="791.49"/>
    <n v="1708.51"/>
    <n v="0"/>
    <n v="0"/>
    <s v=""/>
    <s v=""/>
    <m/>
  </r>
  <r>
    <s v="FIE-2018-2019-IIP-0012"/>
    <s v="2019-000501"/>
    <x v="2"/>
    <d v="2019-06-26T00:00:00"/>
    <s v=""/>
    <s v="INCENT ESP"/>
    <s v="Contract"/>
    <s v="P0413"/>
    <s v="PEREZ QUINTANA, EVA N."/>
    <s v="P0413 - PEREZ QUINTANA, EVA N."/>
    <s v="SAN JUAN"/>
    <s v="Programa Artesanía"/>
    <x v="4"/>
    <n v="2050"/>
    <n v="1441.73"/>
    <n v="608.27"/>
    <n v="0"/>
    <n v="0"/>
    <s v=""/>
    <s v=""/>
    <m/>
  </r>
  <r>
    <s v="FIE-2016-2017-IIP-0004"/>
    <s v="2017-000129"/>
    <x v="6"/>
    <d v="2016-08-15T00:00:00"/>
    <s v=""/>
    <s v="INCENT ESP"/>
    <s v="Contract"/>
    <s v="P0338"/>
    <s v="PEREZ SANTIAGO, MIGUEL"/>
    <s v="P0338 - PEREZ SANTIAGO, MIGUEL"/>
    <s v="SAN JUAN"/>
    <s v="Programa Artesanía"/>
    <x v="4"/>
    <n v="300"/>
    <n v="0"/>
    <n v="300"/>
    <n v="0"/>
    <n v="0"/>
    <s v=""/>
    <s v=""/>
    <m/>
  </r>
  <r>
    <s v="FIE-2019-2020-IIP-0021"/>
    <s v="2020-000125"/>
    <x v="7"/>
    <d v="2019-08-29T00:00:00"/>
    <s v=""/>
    <s v="INCENT ESP"/>
    <s v="Contract"/>
    <s v="P0420"/>
    <s v="PEREZ TORRES, JACKELINE"/>
    <s v="P0420 - PEREZ TORRES, JACKELINE"/>
    <s v="SAN JUAN"/>
    <s v="Programa Artesanía"/>
    <x v="4"/>
    <n v="1260"/>
    <n v="0"/>
    <n v="1260"/>
    <n v="0"/>
    <n v="0"/>
    <s v=""/>
    <s v=""/>
    <m/>
  </r>
  <r>
    <s v="FIE-2019-2020-IIP-0021"/>
    <s v="2020-000388"/>
    <x v="7"/>
    <d v="2020-03-02T00:00:00"/>
    <s v=""/>
    <s v="INCENT ESP"/>
    <s v="Contract"/>
    <s v="P0420"/>
    <s v="PEREZ TORRES, JACKELINE"/>
    <s v="P0420 - PEREZ TORRES, JACKELINE"/>
    <s v="SAN JUAN"/>
    <s v="Programa Artesanía"/>
    <x v="4"/>
    <n v="1260"/>
    <n v="0"/>
    <n v="0"/>
    <n v="1260"/>
    <n v="0"/>
    <s v=""/>
    <s v=""/>
    <m/>
  </r>
  <r>
    <s v="FE-2018-2019-0076"/>
    <s v="2019-000422"/>
    <x v="142"/>
    <d v="2019-05-02T00:00:00"/>
    <d v="2024-01-05T00:00:00"/>
    <s v="INCENT FEDE"/>
    <s v="Contract"/>
    <s v="P0410"/>
    <s v="PERFILES DE ALUMINIO, INC."/>
    <s v="P0410 - PERFILES DE ALUMINIO, INC."/>
    <s v="CANOVANAS"/>
    <s v="PERFILES DE ALUMINIO                                                            "/>
    <x v="5"/>
    <n v="30000"/>
    <n v="0"/>
    <n v="0"/>
    <n v="30000"/>
    <n v="30"/>
    <m/>
    <n v="607950"/>
    <m/>
  </r>
  <r>
    <s v="FE-2018-2019-0077"/>
    <s v="2019-000421"/>
    <x v="142"/>
    <d v="2019-05-02T00:00:00"/>
    <d v="2024-01-05T00:00:00"/>
    <s v="INCENT FEDE"/>
    <s v="Contract"/>
    <s v="P0410"/>
    <s v="PERFILES DE ALUMINIO, INC."/>
    <s v="P0410 - PERFILES DE ALUMINIO, INC."/>
    <s v="CANOVANAS"/>
    <s v="PERFILES DE ALUMINIO                                                            "/>
    <x v="2"/>
    <n v="270000"/>
    <n v="0"/>
    <n v="159657.26"/>
    <n v="110342.73999999999"/>
    <n v="0"/>
    <n v="1500000"/>
    <m/>
    <m/>
  </r>
  <r>
    <s v="FIE-2016-2017-IIP-0005"/>
    <s v="2017-000369"/>
    <x v="6"/>
    <d v="2017-02-28T00:00:00"/>
    <s v=""/>
    <s v="INCENT ESP"/>
    <s v="Contract"/>
    <s v="P0066"/>
    <s v="PERSIDA GAUTHIER GARCIA"/>
    <s v="P0066 - PERSIDA GAUTHIER GARCIA"/>
    <s v="SAN JUAN"/>
    <s v="Programa Artesanía"/>
    <x v="4"/>
    <n v="428.66"/>
    <n v="44.44"/>
    <n v="384.22"/>
    <n v="0"/>
    <n v="0"/>
    <s v=""/>
    <s v=""/>
    <m/>
  </r>
  <r>
    <s v="FE-2019-2020-0086"/>
    <s v="En Proceso"/>
    <x v="126"/>
    <s v="En Proceso"/>
    <s v=""/>
    <s v="INCENT FEDE"/>
    <s v="Assignment"/>
    <s v="P0290"/>
    <s v="PETER PAUL ELECTRIC, INC."/>
    <s v="P0290 - PETER PAUL ELECTRIC, INC."/>
    <s v="FAJARDO"/>
    <s v="Electromagnetic coils"/>
    <x v="5"/>
    <n v="60000"/>
    <n v="0"/>
    <n v="0"/>
    <n v="60000"/>
    <n v="30"/>
    <m/>
    <n v="750000"/>
    <m/>
  </r>
  <r>
    <s v="FE-2019-2020-0087"/>
    <s v="En Proceso"/>
    <x v="126"/>
    <s v="En Proceso"/>
    <s v=""/>
    <s v="INCENT FEDE"/>
    <s v="Assignment"/>
    <s v="P0290"/>
    <s v="PETER PAUL ELECTRIC, INC."/>
    <s v="P0290 - PETER PAUL ELECTRIC, INC."/>
    <s v="FAJARDO"/>
    <s v="Electromagnetic coils"/>
    <x v="2"/>
    <n v="2020000"/>
    <n v="0"/>
    <n v="0"/>
    <n v="2020000"/>
    <n v="0"/>
    <n v="2020000"/>
    <m/>
    <m/>
  </r>
  <r>
    <s v="FIE60-2020-2021-0021"/>
    <s v="2021-000117"/>
    <x v="66"/>
    <d v="2020-09-24T00:00:00"/>
    <d v="2025-09-23T00:00:00"/>
    <s v="INCENT LEY 60"/>
    <s v="Contract"/>
    <s v="P0013"/>
    <s v="PF CONSUMER HEALTHCARE B.V."/>
    <s v="P0013 - PF CONSUMER HEALTHCARE B.V."/>
    <s v="GUAYAMA"/>
    <s v="Farmaceútica"/>
    <x v="8"/>
    <n v="5760000"/>
    <n v="0"/>
    <n v="0"/>
    <n v="5760000"/>
    <n v="240"/>
    <m/>
    <n v="14000000"/>
    <n v="1.1000000000000001"/>
  </r>
  <r>
    <s v="FIE60-2020-2021-0020"/>
    <s v="2021-000118"/>
    <x v="66"/>
    <d v="2020-09-24T00:00:00"/>
    <d v="2025-09-23T00:00:00"/>
    <s v="INCENT LEY 60"/>
    <s v="Contract"/>
    <s v="P0013"/>
    <s v="PF CONSUMER HEALTHCARE B.V."/>
    <s v="P0013 - PF CONSUMER HEALTHCARE B.V."/>
    <s v="GUAYAMA"/>
    <s v="Farmaceútica"/>
    <x v="11"/>
    <n v="6000000"/>
    <n v="0"/>
    <n v="0"/>
    <n v="6000000"/>
    <n v="0"/>
    <m/>
    <m/>
    <n v="1.1000000000000001"/>
  </r>
  <r>
    <s v="FIE60-2020-2021-0022"/>
    <s v="2021-000119"/>
    <x v="66"/>
    <d v="2020-09-24T00:00:00"/>
    <d v="2025-09-23T00:00:00"/>
    <s v="INCENT LEY 60"/>
    <s v="Contract"/>
    <s v="P0013"/>
    <s v="PF CONSUMER HEALTHCARE B.V."/>
    <s v="P0013 - PF CONSUMER HEALTHCARE B.V."/>
    <s v="GUAYAMA"/>
    <s v="Farmaceútica"/>
    <x v="9"/>
    <n v="22450000"/>
    <n v="0"/>
    <n v="0"/>
    <n v="22450000"/>
    <n v="0"/>
    <n v="75600000"/>
    <m/>
    <n v="1.1000000000000001"/>
  </r>
  <r>
    <s v="FIE-2017-2018-IIP-0040"/>
    <s v="2018-000203"/>
    <x v="121"/>
    <d v="2017-12-21T00:00:00"/>
    <s v=""/>
    <s v="INCENT ESP"/>
    <s v="Contract"/>
    <s v="P0129"/>
    <s v="PHARMA-BIO SERV PR, INC"/>
    <s v="P0129 - PHARMA-BIO SERV PR, INC"/>
    <s v="CATAÑO"/>
    <s v="Incentivo de Emergencias Huracanes - Generadores"/>
    <x v="3"/>
    <n v="25000"/>
    <n v="0"/>
    <n v="25000"/>
    <n v="0"/>
    <n v="0"/>
    <s v=""/>
    <s v=""/>
    <m/>
  </r>
  <r>
    <s v="FIE-2018-2019-IIP-0030"/>
    <s v="2020-000231"/>
    <x v="20"/>
    <d v="2019-11-12T00:00:00"/>
    <s v=""/>
    <s v="INCENT ESP"/>
    <s v="Contract"/>
    <s v="P0427"/>
    <s v="PILOTO 151, LLC"/>
    <s v="P0427 - PILOTO 151, LLC"/>
    <s v="SAN JUAN"/>
    <s v="Tecnología"/>
    <x v="7"/>
    <n v="20000"/>
    <n v="0"/>
    <n v="20000"/>
    <n v="0"/>
    <n v="0"/>
    <n v="0"/>
    <n v="0"/>
    <m/>
  </r>
  <r>
    <s v="FE-2018-2019-0058"/>
    <s v="En Proceso"/>
    <x v="32"/>
    <s v="En Proceso"/>
    <s v=""/>
    <s v="INCENT FEDE"/>
    <s v="Assignment"/>
    <m/>
    <s v="PINNACLE PARTNERS LLC"/>
    <s v="PINNACLE PARTNERS LLC"/>
    <s v="SAN JUAN"/>
    <s v="SERVICIOS DE PLANIFICACIÓN FINANCIERA Y CENTRO DE LLAMADAS"/>
    <x v="5"/>
    <n v="162500"/>
    <n v="0"/>
    <n v="0"/>
    <n v="162500"/>
    <n v="65"/>
    <m/>
    <n v="980000"/>
    <m/>
  </r>
  <r>
    <s v="FE-2018-2019-0059"/>
    <s v="En Proceso"/>
    <x v="32"/>
    <s v="En Proceso"/>
    <s v=""/>
    <s v="INCENT FEDE"/>
    <s v="Assignment"/>
    <m/>
    <s v="PINNACLE PARTNERS LLC"/>
    <s v="PINNACLE PARTNERS LLC"/>
    <s v="SAN JUAN"/>
    <s v="SERVICIOS DE PLANIFICACIÓN FINANCIERA Y CENTRO DE LLAMADAS"/>
    <x v="2"/>
    <n v="100000"/>
    <n v="0"/>
    <n v="0"/>
    <n v="100000"/>
    <n v="0"/>
    <n v="175000"/>
    <m/>
    <m/>
  </r>
  <r>
    <s v="FIE-2016-2017-IIP-0039"/>
    <s v="2017-000263"/>
    <x v="165"/>
    <d v="2016-12-12T00:00:00"/>
    <s v=""/>
    <s v="INCENT ESP"/>
    <s v="Contract"/>
    <s v="P2500"/>
    <s v="PIRETTE UNIFORMS, INC."/>
    <s v="P2500 - PIRETTE UNIFORMS, INC."/>
    <s v="SAN JUAN"/>
    <s v="Uniformes"/>
    <x v="5"/>
    <n v="3750"/>
    <n v="0"/>
    <n v="3750"/>
    <n v="0"/>
    <n v="15"/>
    <s v=""/>
    <s v=""/>
    <m/>
  </r>
  <r>
    <s v="FE-2017-2018-0056"/>
    <s v="2019-000197"/>
    <x v="103"/>
    <d v="2018-11-29T00:00:00"/>
    <s v="28/11/2021"/>
    <s v="INCENT FEDE"/>
    <s v="Contract"/>
    <s v="P2500"/>
    <s v="PIRETTE UNIFORMS, INC."/>
    <s v="P2500 - PIRETTE UNIFORMS, INC."/>
    <s v="SAN JUAN"/>
    <s v="Costura"/>
    <x v="2"/>
    <n v="37473.69"/>
    <n v="0"/>
    <n v="0"/>
    <n v="37473.69"/>
    <n v="0"/>
    <s v=""/>
    <s v=""/>
    <m/>
  </r>
  <r>
    <s v="FIE-2019-2020-IIP-0116"/>
    <s v="2021-000019"/>
    <x v="87"/>
    <d v="2020-07-17T00:00:00"/>
    <s v=""/>
    <s v="INCENT ESP"/>
    <s v="Contract"/>
    <s v="P0416"/>
    <s v="PITA MAKER, INC. "/>
    <s v="P0416 - PITA MAKER, INC. "/>
    <s v="SAN JUAN"/>
    <s v="Alimentos"/>
    <x v="5"/>
    <n v="6500"/>
    <n v="0"/>
    <n v="0"/>
    <n v="6500"/>
    <n v="13"/>
    <m/>
    <n v="150800"/>
    <m/>
  </r>
  <r>
    <s v="FIE-2019-2020-IIP-0117"/>
    <s v="En Proceso"/>
    <x v="87"/>
    <s v="En Proceso"/>
    <s v=""/>
    <s v="INCENT ESP"/>
    <s v="Assignment"/>
    <s v="P0416"/>
    <s v="PITA MAKER, INC. "/>
    <s v="P0416 - PITA MAKER, INC. "/>
    <s v="SAN JUAN"/>
    <s v="Alimentos"/>
    <x v="2"/>
    <n v="150000"/>
    <n v="0"/>
    <n v="0"/>
    <n v="150000"/>
    <n v="0"/>
    <n v="277000"/>
    <m/>
    <m/>
  </r>
  <r>
    <s v="FIE-2016-2017-IEE-0024"/>
    <s v="2016-000560-C"/>
    <x v="9"/>
    <d v="2016-12-02T00:00:00"/>
    <s v=""/>
    <s v="INCENT ESP"/>
    <s v="Contract"/>
    <s v="P2650"/>
    <s v="PITIRRE MFG., INC."/>
    <s v="P2650 - PITIRRE MFG., INC."/>
    <s v="SAN JUAN"/>
    <s v="Muebles"/>
    <x v="6"/>
    <n v="8679"/>
    <n v="0"/>
    <n v="8679"/>
    <n v="0"/>
    <n v="0"/>
    <s v=""/>
    <s v=""/>
    <m/>
  </r>
  <r>
    <s v="FIE-2016-2017-IEE-0038"/>
    <s v="2016-000560-B"/>
    <x v="166"/>
    <d v="2016-12-02T00:00:00"/>
    <s v=""/>
    <s v="INCENT ESP"/>
    <s v="Contract"/>
    <s v="P2650"/>
    <s v="PITIRRE MFG., INC."/>
    <s v="P2650 - PITIRRE MFG., INC."/>
    <s v="SAN JUAN"/>
    <s v="Muebles"/>
    <x v="6"/>
    <n v="4198"/>
    <n v="0"/>
    <n v="4198"/>
    <n v="0"/>
    <n v="0"/>
    <s v=""/>
    <s v=""/>
    <m/>
  </r>
  <r>
    <s v="FIE-2017-2018-IEE-0124"/>
    <s v="En Proceso"/>
    <x v="11"/>
    <s v="En Proceso"/>
    <s v=""/>
    <s v="INCENT ESP"/>
    <s v="Assignment"/>
    <s v="P2650"/>
    <s v="PITIRRE MFG., INC."/>
    <s v="P2650 - PITIRRE MFG., INC."/>
    <s v="SAN JUAN"/>
    <s v="Muebles"/>
    <x v="6"/>
    <n v="7379"/>
    <n v="0"/>
    <n v="0"/>
    <n v="7379"/>
    <n v="0"/>
    <s v=""/>
    <s v=""/>
    <m/>
  </r>
  <r>
    <s v="FIE-2018-2019-IEE-0080"/>
    <s v="2020-000005-A"/>
    <x v="70"/>
    <d v="2019-08-13T00:00:00"/>
    <s v=""/>
    <s v="INCENT ESP"/>
    <s v="Contract"/>
    <s v="P2650"/>
    <s v="PITIRRE MFG., INC."/>
    <s v="P2650 - PITIRRE MFG., INC."/>
    <s v="SAN JUAN"/>
    <s v="Muebles"/>
    <x v="6"/>
    <n v="5352"/>
    <n v="0"/>
    <n v="5352"/>
    <n v="0"/>
    <n v="0"/>
    <s v=""/>
    <s v=""/>
    <m/>
  </r>
  <r>
    <s v="FIE-2018-2019-IEE-0079"/>
    <s v="2020-000005"/>
    <x v="91"/>
    <d v="2019-07-02T00:00:00"/>
    <s v=""/>
    <s v="INCENT ESP"/>
    <s v="Contract"/>
    <s v="P2650"/>
    <s v="PITIRRE MFG., INC."/>
    <s v="P2650 - PITIRRE MFG., INC."/>
    <s v="SAN JUAN"/>
    <s v="Muebles"/>
    <x v="6"/>
    <n v="5915"/>
    <n v="0"/>
    <n v="5915"/>
    <n v="0"/>
    <n v="0"/>
    <s v=""/>
    <s v=""/>
    <m/>
  </r>
  <r>
    <s v="FIE-2018-2019-IEE-0090"/>
    <s v="2020-000005-B"/>
    <x v="127"/>
    <d v="2019-08-14T00:00:00"/>
    <s v=""/>
    <s v="INCENT ESP"/>
    <s v="Contract"/>
    <s v="P2650"/>
    <s v="PITIRRE MFG., INC."/>
    <s v="P2650 - PITIRRE MFG., INC."/>
    <s v="SAN JUAN"/>
    <s v="Muebles"/>
    <x v="6"/>
    <n v="4801"/>
    <n v="0"/>
    <n v="4801"/>
    <n v="0"/>
    <n v="0"/>
    <s v=""/>
    <s v=""/>
    <m/>
  </r>
  <r>
    <s v="FIE-2019-2020-IEE-0041"/>
    <s v="2020-000005-C"/>
    <x v="46"/>
    <d v="2019-12-02T00:00:00"/>
    <s v=""/>
    <s v="INCENT ESP"/>
    <s v="Contract"/>
    <s v="P2650"/>
    <s v="PITIRRE MFG., INC."/>
    <s v="P2650 - PITIRRE MFG., INC."/>
    <s v="SAN JUAN"/>
    <s v="Muebles"/>
    <x v="6"/>
    <n v="4753"/>
    <n v="0"/>
    <n v="4753"/>
    <n v="0"/>
    <n v="0"/>
    <s v=""/>
    <s v=""/>
    <m/>
  </r>
  <r>
    <s v="FIE-2019-2020-IEE-0105"/>
    <s v="2020-000375"/>
    <x v="15"/>
    <d v="2020-02-27T00:00:00"/>
    <s v=""/>
    <s v="INCENT ESP"/>
    <s v="Contract"/>
    <s v="P2650"/>
    <s v="PITIRRE MFG., INC."/>
    <s v="P2650 - PITIRRE MFG., INC."/>
    <s v="SAN JUAN"/>
    <s v="Muebles"/>
    <x v="6"/>
    <n v="5997"/>
    <n v="0"/>
    <n v="5997"/>
    <n v="0"/>
    <n v="0"/>
    <s v=""/>
    <s v=""/>
    <m/>
  </r>
  <r>
    <s v="FIE-2019-2020-IEE-0125"/>
    <s v="En Proceso"/>
    <x v="92"/>
    <s v="En Proceso"/>
    <s v=""/>
    <s v="INCENT ESP"/>
    <s v="Assignment"/>
    <s v="P2650"/>
    <s v="PITIRRE MFG., INC."/>
    <s v="P2650 - PITIRRE MFG., INC."/>
    <s v="SAN JUAN"/>
    <s v="Muebles"/>
    <x v="6"/>
    <n v="5157"/>
    <n v="0"/>
    <n v="0"/>
    <n v="5157"/>
    <n v="0"/>
    <s v=""/>
    <s v=""/>
    <m/>
  </r>
  <r>
    <s v="FIE-2019-2020-IEE-0137"/>
    <s v="En Proceso"/>
    <x v="47"/>
    <s v="En Proceso"/>
    <s v=""/>
    <s v="INCENT ESP"/>
    <s v="Assignment"/>
    <s v="P2650"/>
    <s v="PITIRRE MFG., INC."/>
    <s v="P2650 - PITIRRE MFG., INC."/>
    <s v="SAN JUAN"/>
    <s v="Muebles"/>
    <x v="6"/>
    <n v="2091"/>
    <n v="0"/>
    <n v="0"/>
    <n v="2091"/>
    <n v="0"/>
    <s v=""/>
    <s v=""/>
    <m/>
  </r>
  <r>
    <s v="FIE60-2020-2021-0068"/>
    <s v="En Proceso"/>
    <x v="17"/>
    <s v="En Proceso"/>
    <s v=""/>
    <s v="INCENT LEY 60"/>
    <s v="Assignment"/>
    <s v="P2650"/>
    <s v="PITIRRE MFG., INC."/>
    <s v="P2650 - PITIRRE MFG., INC."/>
    <s v="SAN JUAN"/>
    <s v="Muebles"/>
    <x v="6"/>
    <n v="3731.7"/>
    <n v="0"/>
    <n v="0"/>
    <n v="3731.7"/>
    <n v="0"/>
    <s v=""/>
    <s v=""/>
    <s v=""/>
  </r>
  <r>
    <s v="FIE-2016-2017-IIP-0004"/>
    <s v="2017-000131"/>
    <x v="6"/>
    <d v="2016-08-15T00:00:00"/>
    <s v=""/>
    <s v="INCENT ESP"/>
    <s v="Contract"/>
    <s v="P3600"/>
    <s v="PLAZA DEL CARIBE, SE"/>
    <s v="P3600 - PLAZA DEL CARIBE, SE"/>
    <s v="SAN JUAN"/>
    <s v="Programa Artesanía"/>
    <x v="4"/>
    <n v="1050"/>
    <n v="0"/>
    <n v="1050"/>
    <n v="0"/>
    <n v="0"/>
    <s v=""/>
    <s v=""/>
    <m/>
  </r>
  <r>
    <s v="FE-2018-2019-0019"/>
    <s v="2019-000315"/>
    <x v="19"/>
    <d v="2019-02-25T00:00:00"/>
    <s v="24/8/2024"/>
    <s v="INCENT FEDE"/>
    <s v="Contract"/>
    <s v="P0394"/>
    <s v="POINT BLANK PROTECTIVE APPAREL &amp; UNIFORMS"/>
    <s v="P0394 - POINT BLANK PROTECTIVE APPAREL &amp; UNIFORMS"/>
    <s v="GUANICA"/>
    <s v="Manufactura de vestimenta de protección, uniformes y accesorios"/>
    <x v="5"/>
    <n v="1500000"/>
    <n v="0"/>
    <n v="306093.75"/>
    <n v="1193906.25"/>
    <n v="550"/>
    <m/>
    <n v="12886394"/>
    <m/>
  </r>
  <r>
    <s v="FE-2018-2019-0020"/>
    <s v="2019-000316"/>
    <x v="19"/>
    <d v="2019-02-25T00:00:00"/>
    <s v="24/2/2024"/>
    <s v="INCENT FEDE"/>
    <s v="Contract"/>
    <s v="P0394"/>
    <s v="POINT BLANK PROTECTIVE APPAREL &amp; UNIFORMS"/>
    <s v="P0394 - POINT BLANK PROTECTIVE APPAREL &amp; UNIFORMS"/>
    <s v="GUANICA"/>
    <s v="Manufactura de vestimenta de protección, uniformes y accesorios"/>
    <x v="1"/>
    <n v="500000"/>
    <n v="0"/>
    <n v="0"/>
    <n v="500000"/>
    <n v="0"/>
    <n v="1093000"/>
    <m/>
    <m/>
  </r>
  <r>
    <s v="FE-2019-2020-0102"/>
    <s v="2020-000455"/>
    <x v="167"/>
    <d v="2020-06-30T00:00:00"/>
    <s v="29/6/2021"/>
    <s v="INCENT FEDE"/>
    <s v="Contract"/>
    <s v="P8716"/>
    <s v="POSITRONIC CARIBE"/>
    <s v="P8716 - POSITRONIC CARIBE"/>
    <s v="PONCE"/>
    <s v="CONECTORES ELECTRICOS Y CABLES                                                  "/>
    <x v="21"/>
    <n v="184114"/>
    <n v="0"/>
    <n v="184114"/>
    <n v="0"/>
    <n v="0"/>
    <s v=""/>
    <s v=""/>
    <m/>
  </r>
  <r>
    <s v="FE-2018-2019-0031"/>
    <s v="2019-000347"/>
    <x v="38"/>
    <d v="2019-03-07T00:00:00"/>
    <d v="2020-06-03T00:00:00"/>
    <s v="INCENT FEDE"/>
    <s v="Contract"/>
    <s v="P0910"/>
    <s v="PR TECHNOECONOMIC CORRIDOR"/>
    <s v="P0910 - PR TECHNOECONOMIC CORRIDOR"/>
    <s v="MAYAGUEZ"/>
    <s v="Incubadora"/>
    <x v="14"/>
    <n v="100000"/>
    <n v="0"/>
    <n v="100000"/>
    <n v="0"/>
    <n v="0"/>
    <s v=""/>
    <s v=""/>
    <m/>
  </r>
  <r>
    <s v="FIE-2018-2019-IIP-0030"/>
    <s v="2019-000372"/>
    <x v="20"/>
    <d v="2019-03-27T00:00:00"/>
    <s v=""/>
    <s v="INCENT ESP"/>
    <s v="Contract"/>
    <s v="P0402"/>
    <s v="PRATIAN, LLC"/>
    <s v="P0402 - PRATIAN, LLC"/>
    <s v="SANTA ISABEL"/>
    <s v="Tecnología"/>
    <x v="7"/>
    <n v="80000"/>
    <n v="0"/>
    <n v="80000"/>
    <n v="0"/>
    <n v="0"/>
    <s v=""/>
    <s v=""/>
    <m/>
  </r>
  <r>
    <s v="FE-2017-2018-0001"/>
    <s v="2018-000184-A"/>
    <x v="77"/>
    <d v="2017-12-18T00:00:00"/>
    <s v="17/12/2020"/>
    <s v="INCENT FEDE"/>
    <s v="Contract"/>
    <s v="I0150"/>
    <s v="PRATT &amp; WHITNEY PUERTO RICO, INC"/>
    <s v="I0150 - PRATT &amp; WHITNEY PUERTO RICO, INC"/>
    <s v="AGUADILLA"/>
    <s v="Aeroespacial"/>
    <x v="1"/>
    <n v="637000"/>
    <n v="0"/>
    <n v="637000"/>
    <n v="0"/>
    <n v="0"/>
    <s v=""/>
    <s v=""/>
    <m/>
  </r>
  <r>
    <s v="FE-2019-2020-0069"/>
    <s v="En Proceso"/>
    <x v="54"/>
    <s v="En Proceso"/>
    <s v=""/>
    <s v="INCENT FEDE"/>
    <s v="Assignment"/>
    <m/>
    <s v="PRECISION WORX LLC"/>
    <s v="PRECISION WORX LLC"/>
    <s v="FAJARDO"/>
    <s v="Manufactura"/>
    <x v="5"/>
    <n v="60000"/>
    <n v="0"/>
    <n v="0"/>
    <n v="60000"/>
    <n v="60"/>
    <m/>
    <n v="4500000"/>
    <m/>
  </r>
  <r>
    <s v="FE-2019-2020-0070"/>
    <s v="En Proceso"/>
    <x v="54"/>
    <s v="En Proceso"/>
    <s v=""/>
    <s v="INCENT FEDE"/>
    <s v="Assignment"/>
    <m/>
    <s v="PRECISION WORX LLC"/>
    <s v="PRECISION WORX LLC"/>
    <s v="FAJARDO"/>
    <s v="Manufactura"/>
    <x v="2"/>
    <n v="6500000"/>
    <n v="0"/>
    <n v="0"/>
    <n v="6500000"/>
    <n v="0"/>
    <n v="19900000"/>
    <m/>
    <m/>
  </r>
  <r>
    <s v="FIE60-2020-2021-0056"/>
    <s v="En Proceso"/>
    <x v="62"/>
    <s v="En Proceso"/>
    <s v=""/>
    <s v="INCENT LEY 60"/>
    <s v="Assignment"/>
    <s v="P8905"/>
    <s v="PRENT PUERTO RICO, LLC"/>
    <s v="P8905 - PRENT PUERTO RICO, LLC"/>
    <s v="YAUCO"/>
    <s v="PLASTIC TRAYS BY THERMOFORMING"/>
    <x v="8"/>
    <n v="178000"/>
    <n v="0"/>
    <n v="0"/>
    <n v="178000"/>
    <n v="40"/>
    <m/>
    <n v="630000"/>
    <n v="0.61"/>
  </r>
  <r>
    <s v="FIE60-2020-2021-0055"/>
    <s v="En Proceso"/>
    <x v="62"/>
    <s v="En Proceso"/>
    <s v=""/>
    <s v="INCENT LEY 60"/>
    <s v="Assignment"/>
    <s v="P8905"/>
    <s v="PRENT PUERTO RICO, LLC"/>
    <s v="P8905 - PRENT PUERTO RICO, LLC"/>
    <s v="YAUCO"/>
    <s v="PLASTIC TRAYS BY THERMOFORMING"/>
    <x v="11"/>
    <n v="200000"/>
    <n v="0"/>
    <n v="0"/>
    <n v="200000"/>
    <n v="0"/>
    <m/>
    <m/>
    <n v="0.61"/>
  </r>
  <r>
    <s v="FIE60-2020-2021-0054"/>
    <s v="En Proceso"/>
    <x v="62"/>
    <s v="En Proceso"/>
    <s v=""/>
    <s v="INCENT LEY 60"/>
    <s v="Assignment"/>
    <s v="P8905"/>
    <s v="PRENT PUERTO RICO, LLC"/>
    <s v="P8905 - PRENT PUERTO RICO, LLC"/>
    <s v="YAUCO"/>
    <s v="PLASTIC TRAYS BY THERMOFORMING"/>
    <x v="9"/>
    <n v="400000"/>
    <n v="0"/>
    <n v="0"/>
    <n v="400000"/>
    <n v="0"/>
    <n v="800000"/>
    <m/>
    <n v="0.61"/>
  </r>
  <r>
    <s v="FE-2018-2019-0069"/>
    <s v="2019-000322"/>
    <x v="32"/>
    <d v="2019-03-05T00:00:00"/>
    <d v="2025-04-03T00:00:00"/>
    <s v="INCENT FEDE"/>
    <s v="Contract"/>
    <s v="P0398"/>
    <s v="PRHOF MANUFACTURING LLC"/>
    <s v="P0398 - PRHOF MANUFACTURING LLC"/>
    <s v="SAN SEBASTIAN"/>
    <s v="Manufactura de paneles estructurales insulados"/>
    <x v="5"/>
    <n v="5079000"/>
    <n v="5079000"/>
    <n v="0"/>
    <n v="0"/>
    <n v="5079"/>
    <s v=""/>
    <s v=""/>
    <m/>
  </r>
  <r>
    <s v="FE-2018-2019-0070"/>
    <s v="2019-000321"/>
    <x v="32"/>
    <d v="2019-03-05T00:00:00"/>
    <d v="2024-04-03T00:00:00"/>
    <s v="INCENT FEDE"/>
    <s v="Contract"/>
    <s v="P0398"/>
    <s v="PRHOF MANUFACTURING LLC"/>
    <s v="P0398 - PRHOF MANUFACTURING LLC"/>
    <s v="SAN SEBASTIAN"/>
    <s v="Manufactura de paneles estructurales insulados"/>
    <x v="2"/>
    <n v="15000000"/>
    <n v="15000000"/>
    <n v="0"/>
    <n v="0"/>
    <n v="0"/>
    <s v=""/>
    <s v=""/>
    <m/>
  </r>
  <r>
    <s v="FIE-2017-2018-IIP-0119"/>
    <s v="2019-000020-A"/>
    <x v="168"/>
    <d v="2019-02-06T00:00:00"/>
    <s v=""/>
    <s v="INCENT ESP"/>
    <s v="Contract"/>
    <s v="P0263"/>
    <s v="PRIME AIR CORP."/>
    <s v="P0263 - PRIME AIR CORP."/>
    <s v="CAROLINA"/>
    <s v="Freight Transportation, Warehousing Domestic &amp; International"/>
    <x v="5"/>
    <n v="14000"/>
    <n v="0"/>
    <n v="0"/>
    <n v="14000"/>
    <n v="8"/>
    <m/>
    <n v="240000"/>
    <m/>
  </r>
  <r>
    <s v="FIE-2017-2018-IIP-0123"/>
    <s v="2019-000021-B"/>
    <x v="168"/>
    <d v="2019-02-06T00:00:00"/>
    <s v=""/>
    <s v="INCENT ESP"/>
    <s v="Contract"/>
    <s v="P0263"/>
    <s v="PRIME AIR CORP."/>
    <s v="P0263 - PRIME AIR CORP."/>
    <s v="CAROLINA"/>
    <s v="Freight Transportation, Warehousing Domestic &amp; International"/>
    <x v="1"/>
    <n v="225000"/>
    <n v="0"/>
    <n v="205000"/>
    <n v="20000"/>
    <n v="0"/>
    <n v="60000"/>
    <m/>
    <m/>
  </r>
  <r>
    <s v="FIE-2018-2019-IIP-0016"/>
    <s v="2019-000228"/>
    <x v="2"/>
    <d v="2018-12-17T00:00:00"/>
    <s v=""/>
    <s v="INCENT ESP"/>
    <s v="Contract"/>
    <s v="P0263"/>
    <s v="PRIME AIR CORP."/>
    <s v="P0263 - PRIME AIR CORP."/>
    <s v="CAROLINA"/>
    <s v="Freight Transportation, Warehousing Domestic &amp; International"/>
    <x v="0"/>
    <n v="50000"/>
    <n v="0"/>
    <n v="29828.33"/>
    <n v="20171.669999999998"/>
    <n v="0"/>
    <n v="60000"/>
    <s v=""/>
    <m/>
  </r>
  <r>
    <s v="FIE-2017-2018-IIP-0047"/>
    <s v="2018-000206"/>
    <x v="61"/>
    <d v="2017-12-21T00:00:00"/>
    <s v=""/>
    <s v="INCENT ESP"/>
    <s v="Contract"/>
    <s v="P0371"/>
    <s v="PROCESADORA LA ESPERANZA"/>
    <s v="P0371 - PROCESADORA LA ESPERANZA"/>
    <s v="SAN JUAN"/>
    <s v="Incentivo de Emergencias Huracanes - Generadores"/>
    <x v="3"/>
    <n v="14100"/>
    <n v="14100"/>
    <n v="0"/>
    <n v="0"/>
    <n v="0"/>
    <s v=""/>
    <s v=""/>
    <m/>
  </r>
  <r>
    <s v="FIE-2018-2019-IIP-0012"/>
    <s v="2019-000077"/>
    <x v="2"/>
    <d v="2018-08-15T00:00:00"/>
    <s v=""/>
    <s v="INCENT ESP"/>
    <s v="Contract"/>
    <s v="P0388"/>
    <s v="PRODUCCIONES ALFONSO SANABRIA "/>
    <s v="P0388 - PRODUCCIONES ALFONSO SANABRIA "/>
    <s v="SAN JUAN"/>
    <s v="Programa Artesanía"/>
    <x v="4"/>
    <n v="4245"/>
    <n v="1265"/>
    <n v="2980"/>
    <n v="0"/>
    <n v="0"/>
    <s v=""/>
    <s v=""/>
    <m/>
  </r>
  <r>
    <s v="FIE-2018-2019-IIP-0036"/>
    <s v="2020-000432"/>
    <x v="22"/>
    <d v="2020-06-04T00:00:00"/>
    <s v=""/>
    <s v="INCENT ESP"/>
    <s v="Contract"/>
    <s v="P0437"/>
    <s v="PRODUCTOS CARTINAMI, INC. "/>
    <s v="P0437 - PRODUCTOS CARTINAMI, INC. "/>
    <s v="SAN JUAN"/>
    <s v="Alimentos"/>
    <x v="10"/>
    <n v="300000"/>
    <n v="0"/>
    <n v="0"/>
    <n v="300000"/>
    <n v="0"/>
    <s v=""/>
    <s v=""/>
    <m/>
  </r>
  <r>
    <s v="FIE-2019-2020-IIP-0101"/>
    <s v="En Proceso"/>
    <x v="169"/>
    <s v="En Proceso"/>
    <s v=""/>
    <s v="INCENT ESP"/>
    <s v="Assignment"/>
    <m/>
    <s v="PRODUCTOS CHEBO’S, INC."/>
    <s v="PRODUCTOS CHEBO’S, INC."/>
    <s v="SAN SEBASTIAN"/>
    <s v="Alimentos"/>
    <x v="5"/>
    <n v="64000"/>
    <n v="0"/>
    <n v="0"/>
    <n v="64000"/>
    <n v="40"/>
    <s v=""/>
    <s v=""/>
    <m/>
  </r>
  <r>
    <s v="FIE-2019-2020-IIP-0100"/>
    <s v="En Proceso"/>
    <x v="169"/>
    <s v="En Proceso"/>
    <s v=""/>
    <s v="INCENT ESP"/>
    <s v="Assignment"/>
    <m/>
    <s v="PRODUCTOS CHEBO’S, INC."/>
    <s v="PRODUCTOS CHEBO’S, INC."/>
    <s v="SAN SEBASTIAN"/>
    <s v="Alimentos"/>
    <x v="2"/>
    <n v="90000"/>
    <n v="0"/>
    <n v="0"/>
    <n v="90000"/>
    <n v="0"/>
    <s v=""/>
    <s v=""/>
    <m/>
  </r>
  <r>
    <s v="FIE-2017-2018-IIP-0008"/>
    <s v="2018-000368"/>
    <x v="24"/>
    <d v="2018-05-16T00:00:00"/>
    <s v=""/>
    <s v="INCENT ESP"/>
    <s v="Contract"/>
    <s v="P7235"/>
    <s v="PRODUCTOS LA FINCA, INC."/>
    <s v="P7235 - PRODUCTOS LA FINCA, INC."/>
    <s v="SABANA GRANDE"/>
    <s v="Alimentos"/>
    <x v="0"/>
    <n v="50000"/>
    <n v="0"/>
    <n v="26062.45"/>
    <n v="23937.55"/>
    <n v="0"/>
    <s v=""/>
    <s v=""/>
    <m/>
  </r>
  <r>
    <s v="FIE-2019-2020-IIP-0120"/>
    <s v="2020-000452"/>
    <x v="86"/>
    <d v="2020-06-28T00:00:00"/>
    <s v=""/>
    <s v="INCENT ESP"/>
    <s v="Contract"/>
    <s v="P7235"/>
    <s v="PRODUCTOS LA FINCA, INC."/>
    <s v="P7235 - PRODUCTOS LA FINCA, INC."/>
    <s v="SABANA GRANDE"/>
    <s v="Alimentos"/>
    <x v="5"/>
    <n v="24000"/>
    <n v="0"/>
    <n v="0"/>
    <n v="24000"/>
    <n v="15"/>
    <m/>
    <n v="72000"/>
    <m/>
  </r>
  <r>
    <s v="FIE-2019-2020-IIP-0121"/>
    <s v="2021-000013"/>
    <x v="86"/>
    <d v="2020-07-15T00:00:00"/>
    <s v=""/>
    <s v="INCENT ESP"/>
    <s v="Contract"/>
    <s v="P7235"/>
    <s v="PRODUCTOS LA FINCA, INC."/>
    <s v="P7235 - PRODUCTOS LA FINCA, INC."/>
    <s v="SABANA GRANDE"/>
    <s v="Alimentos"/>
    <x v="2"/>
    <n v="153005"/>
    <n v="0"/>
    <n v="0"/>
    <n v="153005"/>
    <n v="0"/>
    <n v="600000"/>
    <m/>
    <m/>
  </r>
  <r>
    <s v="FIE60-2020-2021-0019"/>
    <s v="2021-000097"/>
    <x v="66"/>
    <d v="2020-09-07T00:00:00"/>
    <d v="2025-09-06T00:00:00"/>
    <s v="INCENT LEY 60"/>
    <s v="Contract"/>
    <s v="P9191"/>
    <s v="PRODUCTOS LA FINCA, INC.,"/>
    <s v="P9191 - PRODUCTOS LA FINCA, INC.,"/>
    <s v="SABANA GRANDE"/>
    <s v="Alimentos"/>
    <x v="11"/>
    <n v="49554.84"/>
    <n v="0"/>
    <n v="0"/>
    <n v="49554.84"/>
    <n v="0"/>
    <s v=""/>
    <s v=""/>
    <m/>
  </r>
  <r>
    <s v="FIE-2017-2018-IIP-0070"/>
    <s v="2018-000211"/>
    <x v="42"/>
    <d v="2017-12-27T00:00:00"/>
    <s v=""/>
    <s v="INCENT ESP"/>
    <s v="Contract"/>
    <s v="P3175"/>
    <s v="PRODUCTOS PACHECO, INC."/>
    <s v="P3175 - PRODUCTOS PACHECO, INC."/>
    <s v="SAN JUAN"/>
    <s v="Incentivo de Emergencias Huracanes - Generadores"/>
    <x v="3"/>
    <n v="10000"/>
    <n v="0"/>
    <n v="10000"/>
    <n v="0"/>
    <n v="0"/>
    <s v=""/>
    <s v=""/>
    <m/>
  </r>
  <r>
    <s v="FIE-2017-2018-IIP-0063"/>
    <s v="2018-000180"/>
    <x v="155"/>
    <d v="2017-12-13T00:00:00"/>
    <s v=""/>
    <s v="INCENT ESP"/>
    <s v="Contract"/>
    <s v="P0369"/>
    <s v="PROFESSIONAL SEALING DEVICES CORP."/>
    <s v="P0369 - PROFESSIONAL SEALING DEVICES CORP."/>
    <s v="DORADO"/>
    <s v="Incentivo de Emergencias Huracanes - Generadores"/>
    <x v="3"/>
    <n v="17050"/>
    <n v="2.21"/>
    <n v="17047.79"/>
    <n v="0"/>
    <n v="0"/>
    <s v=""/>
    <s v=""/>
    <m/>
  </r>
  <r>
    <s v="FIE-2016-2017-IIE-0035"/>
    <s v="2018-000161"/>
    <x v="170"/>
    <d v="2017-12-05T00:00:00"/>
    <s v=""/>
    <s v="INCENT ESP"/>
    <s v="Contract"/>
    <s v="P8850"/>
    <s v="PROPPER INTERNATIONAL, INC."/>
    <s v="P8850 - PROPPER INTERNATIONAL, INC."/>
    <s v="CABO ROJO"/>
    <s v="Manufactura de  &quot;White Dress Gloves&quot;"/>
    <x v="18"/>
    <n v="84339.59"/>
    <n v="0"/>
    <n v="67471.679999999993"/>
    <n v="16867.910000000003"/>
    <n v="0"/>
    <s v=""/>
    <s v=""/>
    <m/>
  </r>
  <r>
    <s v="FE-2016-2017-0032"/>
    <s v="2019-000169"/>
    <x v="116"/>
    <d v="2018-10-09T00:00:00"/>
    <d v="2021-08-10T00:00:00"/>
    <s v="INCENT FEDE"/>
    <s v="Contract"/>
    <s v="P0316"/>
    <s v="PROPPER INTERNATIONAL, INC."/>
    <s v="P0316 - PROPPER INTERNATIONAL, INC."/>
    <s v="CABO ROJO"/>
    <s v="Manufactura de  &quot;White Dress Gloves&quot;"/>
    <x v="5"/>
    <n v="55000"/>
    <n v="0"/>
    <n v="0"/>
    <n v="55000"/>
    <n v="55"/>
    <s v=""/>
    <s v=""/>
    <m/>
  </r>
  <r>
    <s v="FIE-2018-2019-IIP-0007"/>
    <s v="2019-000474"/>
    <x v="81"/>
    <d v="2019-06-04T00:00:00"/>
    <s v=""/>
    <s v="INCENT ESP"/>
    <s v="Contract"/>
    <s v="P8850"/>
    <s v="PROPPER INTERNATIONAL, INC."/>
    <s v="P8850 - PROPPER INTERNATIONAL, INC."/>
    <s v="CABO ROJO"/>
    <s v="Manufactura de  &quot;White Dress Gloves&quot;"/>
    <x v="5"/>
    <n v="80850"/>
    <n v="0"/>
    <n v="54600"/>
    <n v="26250"/>
    <n v="77"/>
    <n v="77000"/>
    <n v="1162200"/>
    <m/>
  </r>
  <r>
    <s v="FE-2019-2020-0035"/>
    <s v="2020-000220"/>
    <x v="4"/>
    <d v="2019-11-06T00:00:00"/>
    <d v="2022-05-11T00:00:00"/>
    <s v="INCENT FEDE"/>
    <s v="Contract"/>
    <s v="P0316"/>
    <s v="PROPPER INTERNATIONAL, INC."/>
    <s v="P0316 - PROPPER INTERNATIONAL, INC."/>
    <s v="CABO ROJO"/>
    <s v="Manufactura de  &quot;White Dress Gloves&quot;"/>
    <x v="5"/>
    <n v="262500"/>
    <n v="0"/>
    <n v="0"/>
    <n v="262500"/>
    <n v="125"/>
    <m/>
    <n v="1885000"/>
    <m/>
  </r>
  <r>
    <s v="FE-2019-2020-0036"/>
    <s v="2020-000221"/>
    <x v="4"/>
    <d v="2019-11-06T00:00:00"/>
    <d v="2022-05-11T00:00:00"/>
    <s v="INCENT FEDE"/>
    <s v="Contract"/>
    <s v="P0316"/>
    <s v="PROPPER INTERNATIONAL, INC."/>
    <s v="P0316 - PROPPER INTERNATIONAL, INC."/>
    <s v="CABO ROJO"/>
    <s v="Manufactura de  &quot;White Dress Gloves&quot;"/>
    <x v="1"/>
    <n v="100000"/>
    <n v="0"/>
    <n v="0"/>
    <n v="100000"/>
    <n v="0"/>
    <n v="85000"/>
    <m/>
    <m/>
  </r>
  <r>
    <s v="FIE60-2020-2021-0053"/>
    <s v="En Proceso"/>
    <x v="62"/>
    <s v="En Proceso"/>
    <s v=""/>
    <s v="INCENT LEY 60"/>
    <s v="Assignment"/>
    <s v="P0316"/>
    <s v="PROPPER INTERNATIONAL, INC."/>
    <s v="P0316 - PROPPER INTERNATIONAL, INC."/>
    <s v="CABO ROJO"/>
    <s v="Manufacturing of ANTI-FLASH GLOVES for the USA Defense Department"/>
    <x v="8"/>
    <n v="42000"/>
    <n v="0"/>
    <n v="0"/>
    <n v="42000"/>
    <n v="12"/>
    <n v="13920"/>
    <n v="180960"/>
    <n v="1.84"/>
  </r>
  <r>
    <s v="FIE60-2020-2021-0057"/>
    <s v="En Proceso"/>
    <x v="62"/>
    <s v="En Proceso"/>
    <s v=""/>
    <s v="INCENT LEY 60"/>
    <s v="Assignment"/>
    <s v="P0316"/>
    <s v="PROPPER INTERNATIONAL, INC."/>
    <s v="P0316 - PROPPER INTERNATIONAL, INC."/>
    <s v="CABO ROJO"/>
    <s v="Manufacturing of ANTI-FLASH GLOVES for the USA Defense Department"/>
    <x v="8"/>
    <n v="350000"/>
    <n v="0"/>
    <n v="0"/>
    <n v="350000"/>
    <n v="100"/>
    <n v="100000"/>
    <n v="1508000"/>
    <n v="1.84"/>
  </r>
  <r>
    <s v="FIE60-2020-2021-0058"/>
    <s v="En Proceso"/>
    <x v="62"/>
    <s v="En Proceso"/>
    <s v=""/>
    <s v="INCENT LEY 60"/>
    <s v="Assignment"/>
    <s v="P0316"/>
    <s v="PROPPER INTERNATIONAL, INC."/>
    <s v="P0316 - PROPPER INTERNATIONAL, INC."/>
    <s v="CABO ROJO"/>
    <s v="Manufacturing of ANTI-FLASH GLOVES for the USA Defense Department"/>
    <x v="8"/>
    <n v="612500"/>
    <n v="0"/>
    <n v="0"/>
    <n v="612500"/>
    <n v="175"/>
    <n v="1000"/>
    <n v="2639000"/>
    <n v="1.84"/>
  </r>
  <r>
    <s v="FIE60-2020-2021-0091"/>
    <s v="En Proceso"/>
    <x v="31"/>
    <s v="En Proceso"/>
    <s v=""/>
    <s v="INCENT LEY 60"/>
    <s v="Assignment"/>
    <s v="P0316"/>
    <s v="PROPPER INTERNATIONAL, INC."/>
    <s v="P0316 - PROPPER INTERNATIONAL, INC."/>
    <s v="CABO ROJO"/>
    <s v="Manufacturing of ANTI-FLASH GLOVES for the USA Defense Department"/>
    <x v="8"/>
    <n v="700000"/>
    <n v="0"/>
    <n v="0"/>
    <n v="700000"/>
    <n v="200"/>
    <s v=""/>
    <s v=""/>
    <n v="1.84"/>
  </r>
  <r>
    <s v="FE-2019-2020-0032"/>
    <s v="2020-000216"/>
    <x v="4"/>
    <d v="2019-11-06T00:00:00"/>
    <d v="2022-05-11T00:00:00"/>
    <s v="INCENT FEDE"/>
    <s v="Contract"/>
    <s v="P0245"/>
    <s v="PROTEGO FOOTWEAR, INC."/>
    <s v="P0245 - PROTEGO FOOTWEAR, INC."/>
    <s v="HATILLO"/>
    <s v="MANUFACTURA DE UNIFORMES MILITARES "/>
    <x v="5"/>
    <n v="130000"/>
    <n v="0"/>
    <n v="0"/>
    <n v="130000"/>
    <n v="65"/>
    <m/>
    <n v="1160802"/>
    <m/>
  </r>
  <r>
    <s v="FE-2019-2020-0033"/>
    <s v="2020-000217"/>
    <x v="4"/>
    <d v="2019-11-06T00:00:00"/>
    <d v="2022-05-11T00:00:00"/>
    <s v="INCENT FEDE"/>
    <s v="Contract"/>
    <s v="P0245"/>
    <s v="PROTEGO FOOTWEAR, INC."/>
    <s v="P0245 - PROTEGO FOOTWEAR, INC."/>
    <s v="HATILLO"/>
    <s v="MANUFACTURA DE UNIFORMES MILITARES "/>
    <x v="5"/>
    <n v="95000"/>
    <n v="0"/>
    <n v="0"/>
    <n v="95000"/>
    <n v="50"/>
    <m/>
    <n v="869848"/>
    <m/>
  </r>
  <r>
    <s v="FE-2019-2020-0034"/>
    <s v="2020-000218"/>
    <x v="4"/>
    <d v="2019-11-06T00:00:00"/>
    <d v="2024-05-11T00:00:00"/>
    <s v="INCENT FEDE"/>
    <s v="Contract"/>
    <s v="P0245"/>
    <s v="PROTEGO FOOTWEAR, INC."/>
    <s v="P0245 - PROTEGO FOOTWEAR, INC."/>
    <s v="HATILLO"/>
    <s v="MANUFACTURA DE UNIFORMES MILITARES "/>
    <x v="1"/>
    <n v="80000"/>
    <n v="0"/>
    <n v="0"/>
    <n v="80000"/>
    <n v="0"/>
    <n v="255000"/>
    <m/>
    <m/>
  </r>
  <r>
    <s v="FE-2019-2020-0028"/>
    <s v="2020-000186"/>
    <x v="4"/>
    <d v="2019-10-22T00:00:00"/>
    <s v="21/10/2024"/>
    <s v="INCENT FEDE"/>
    <s v="Contract"/>
    <s v="P8779"/>
    <s v="PUERTO RICO APPAREL MFG. CORP."/>
    <s v="P8779 - PUERTO RICO APPAREL MFG. CORP."/>
    <s v="MAYAGUEZ"/>
    <s v="MANUFACTURA DE UNIFORMES MILITARES "/>
    <x v="5"/>
    <n v="80000"/>
    <n v="0"/>
    <n v="0"/>
    <n v="80000"/>
    <n v="100"/>
    <s v=""/>
    <n v="1508000"/>
    <m/>
  </r>
  <r>
    <s v="FE-2019-2020-0029"/>
    <s v="2020-000187"/>
    <x v="4"/>
    <d v="2019-10-22T00:00:00"/>
    <s v="21/10/2024"/>
    <s v="INCENT FEDE"/>
    <s v="Contract"/>
    <s v="P8779"/>
    <s v="PUERTO RICO APPAREL MFG. CORP."/>
    <s v="P8779 - PUERTO RICO APPAREL MFG. CORP."/>
    <s v="MAYAGUEZ"/>
    <s v="MANUFACTURA DE UNIFORMES MILITARES "/>
    <x v="2"/>
    <n v="250000"/>
    <n v="0"/>
    <n v="250000"/>
    <n v="0"/>
    <n v="0"/>
    <n v="620849"/>
    <s v=""/>
    <m/>
  </r>
  <r>
    <s v="FE-2019-2020-0065"/>
    <s v="2020-000418-A"/>
    <x v="43"/>
    <d v="2020-06-30T00:00:00"/>
    <s v=""/>
    <s v="INCENT FEDE"/>
    <s v="Contract"/>
    <s v="P0439"/>
    <s v="PUERTO RICO ECONOMIC DEV. CO., LLC"/>
    <s v="P0439 - PUERTO RICO ECONOMIC DEV. CO., LLC"/>
    <s v="SAN JUAN"/>
    <s v="Código de Incentivos"/>
    <x v="16"/>
    <n v="200000"/>
    <n v="0"/>
    <n v="0"/>
    <n v="200000"/>
    <n v="0"/>
    <s v=""/>
    <s v=""/>
    <m/>
  </r>
  <r>
    <s v="FE-2018-2019-0046"/>
    <s v="2019-000257"/>
    <x v="38"/>
    <d v="2019-01-29T00:00:00"/>
    <s v="28/1/2022"/>
    <s v="INCENT FEDE"/>
    <s v="Contract"/>
    <s v="P0265"/>
    <s v="PUERTO RICO INDUSTRIES FOR THE BLIND CORP."/>
    <s v="P0265 - PUERTO RICO INDUSTRIES FOR THE BLIND CORP."/>
    <s v="MAYAGUEZ"/>
    <s v="Costura"/>
    <x v="22"/>
    <n v="250000"/>
    <n v="0"/>
    <n v="250000"/>
    <n v="0"/>
    <n v="0"/>
    <s v=""/>
    <s v=""/>
    <m/>
  </r>
  <r>
    <s v="FE-2018-2019-0044"/>
    <s v="2019-000256"/>
    <x v="38"/>
    <d v="2018-12-16T00:00:00"/>
    <s v="28/1/2023"/>
    <s v="INCENT FEDE"/>
    <s v="Contract"/>
    <s v="P0265"/>
    <s v="PUERTO RICO INDUSTRIES FOR THE BLIND CORP."/>
    <s v="P0265 - PUERTO RICO INDUSTRIES FOR THE BLIND CORP."/>
    <s v="MAYAGUEZ"/>
    <s v="Costura"/>
    <x v="5"/>
    <n v="450000"/>
    <n v="0"/>
    <n v="123000"/>
    <n v="327000"/>
    <n v="450"/>
    <s v=""/>
    <n v="7956000"/>
    <m/>
  </r>
  <r>
    <s v="FE-2018-2019-0045"/>
    <s v="2019-000235"/>
    <x v="38"/>
    <d v="2019-01-09T00:00:00"/>
    <d v="2022-08-01T00:00:00"/>
    <s v="INCENT FEDE"/>
    <s v="Contract"/>
    <s v="P0265"/>
    <s v="PUERTO RICO INDUSTRIES FOR THE BLIND CORP."/>
    <s v="P0265 - PUERTO RICO INDUSTRIES FOR THE BLIND CORP."/>
    <s v="MAYAGUEZ"/>
    <s v="Costura"/>
    <x v="2"/>
    <n v="800000"/>
    <n v="0"/>
    <n v="609799.84"/>
    <n v="190200.16000000003"/>
    <n v="0"/>
    <n v="1327000"/>
    <s v=""/>
    <m/>
  </r>
  <r>
    <s v="FIE-2017-2018-IIP-0009"/>
    <s v="2018-000299"/>
    <x v="24"/>
    <d v="2018-02-28T00:00:00"/>
    <s v=""/>
    <s v="INCENT ESP"/>
    <s v="Contract"/>
    <s v="P9585"/>
    <s v="PUERTO RICO STEEL PRODUCTS CORP."/>
    <s v="P9585 - PUERTO RICO STEEL PRODUCTS CORP."/>
    <s v="SAN JUAN"/>
    <s v="Manufactura"/>
    <x v="12"/>
    <n v="40000"/>
    <n v="0"/>
    <n v="40000"/>
    <n v="0"/>
    <n v="0"/>
    <s v="Check"/>
    <s v="Check"/>
    <m/>
  </r>
  <r>
    <s v="FIE-2017-2018-IIP-0060"/>
    <s v="2018-000242"/>
    <x v="144"/>
    <d v="2017-12-22T00:00:00"/>
    <s v=""/>
    <s v="INCENT ESP"/>
    <s v="Contract"/>
    <s v="P9585"/>
    <s v="PUERTO RICO STEEL PRODUCTS CORP."/>
    <s v="P9585 - PUERTO RICO STEEL PRODUCTS CORP."/>
    <s v="SAN JUAN"/>
    <s v="Incentivo de Emergencias Huracanes - Generadores"/>
    <x v="3"/>
    <n v="25000"/>
    <n v="0"/>
    <n v="25000"/>
    <n v="0"/>
    <n v="0"/>
    <s v="Check"/>
    <s v="Check"/>
    <m/>
  </r>
  <r>
    <s v="FIE-2017-2018-IIP-0058"/>
    <s v="2018-000175"/>
    <x v="144"/>
    <d v="2017-12-15T00:00:00"/>
    <s v=""/>
    <s v="INCENT ESP"/>
    <s v="Contract"/>
    <s v="P0270"/>
    <s v="PURE PEDIC LLC"/>
    <s v="P0270 - PURE PEDIC LLC"/>
    <s v="SAN JUAN"/>
    <s v="Incentivo de Emergencias Huracanes - Generadores"/>
    <x v="3"/>
    <n v="25000"/>
    <n v="0"/>
    <n v="25000"/>
    <n v="0"/>
    <n v="0"/>
    <s v=""/>
    <s v=""/>
    <m/>
  </r>
  <r>
    <s v="FIE-2016-2017-IIP-0006"/>
    <s v="2017-000463"/>
    <x v="6"/>
    <d v="2017-06-20T00:00:00"/>
    <s v=""/>
    <s v="INCENT ESP"/>
    <s v="Contract"/>
    <s v="K0021"/>
    <s v="PURO DISENO"/>
    <s v="K0021 - PURO DISENO"/>
    <s v="SAN JUAN"/>
    <s v="Programa Artesanía"/>
    <x v="4"/>
    <n v="3325"/>
    <n v="75"/>
    <n v="3250"/>
    <n v="0"/>
    <n v="0"/>
    <s v=""/>
    <s v=""/>
    <m/>
  </r>
  <r>
    <s v="FIE-2018-2019-IIP-0030"/>
    <s v="2019-000412-A"/>
    <x v="20"/>
    <d v="2019-04-17T00:00:00"/>
    <s v=""/>
    <s v="INCENT ESP"/>
    <s v="Contract"/>
    <s v="Q0054"/>
    <s v="QUALTICS, LLC"/>
    <s v="Q0054 - QUALTICS, LLC"/>
    <s v="PONCE"/>
    <s v="Tecnología"/>
    <x v="7"/>
    <n v="50000"/>
    <n v="0"/>
    <n v="50000"/>
    <n v="0"/>
    <n v="0"/>
    <s v=""/>
    <s v=""/>
    <m/>
  </r>
  <r>
    <s v="FIE-2017-2018-IIP-0088"/>
    <s v="2018-000220"/>
    <x v="130"/>
    <d v="2017-12-28T00:00:00"/>
    <s v=""/>
    <s v="INCENT ESP"/>
    <s v="Contract"/>
    <s v="Q0051"/>
    <s v="QUESOS DE LA HACIENDA, INC."/>
    <s v="Q0051 - QUESOS DE LA HACIENDA, INC."/>
    <s v="SAN JUAN"/>
    <s v="Incentivo de Emergencias Huracanes - Generadores"/>
    <x v="3"/>
    <n v="17600"/>
    <n v="0"/>
    <n v="17600"/>
    <n v="0"/>
    <n v="0"/>
    <s v=""/>
    <s v=""/>
    <m/>
  </r>
  <r>
    <s v="FIE-2017-2018-IIP-0114"/>
    <s v="En Proceso"/>
    <x v="171"/>
    <s v="En Proceso"/>
    <s v=""/>
    <s v="INCENT ESP"/>
    <s v="Assignment"/>
    <s v="Q0051"/>
    <s v="QUESOS DE LA HACIENDA, INC."/>
    <s v="Q0051 - QUESOS DE LA HACIENDA, INC."/>
    <s v="SAN JUAN"/>
    <s v="Alimentos"/>
    <x v="5"/>
    <n v="11200"/>
    <n v="0"/>
    <n v="0"/>
    <n v="11200"/>
    <n v="8"/>
    <n v="20000"/>
    <n v="120640"/>
    <m/>
  </r>
  <r>
    <s v="FIE-2017-2018-IIP-0007"/>
    <s v="2018-000406"/>
    <x v="24"/>
    <d v="2018-06-28T00:00:00"/>
    <s v=""/>
    <s v="INCENT ESP"/>
    <s v="Contract"/>
    <s v="Q0052"/>
    <s v="QUICK DELIVERY, INC"/>
    <s v="Q0052 - QUICK DELIVERY, INC"/>
    <s v="JUANA DIAZ"/>
    <s v="Programa Artesanía"/>
    <x v="4"/>
    <n v="9503"/>
    <n v="993.2"/>
    <n v="8509.7999999999993"/>
    <n v="0"/>
    <n v="0"/>
    <s v=""/>
    <s v=""/>
    <m/>
  </r>
  <r>
    <s v="FIE-2018-2019-IIP-0015"/>
    <s v="2019-000502"/>
    <x v="2"/>
    <d v="2019-06-27T00:00:00"/>
    <s v=""/>
    <s v="INCENT ESP"/>
    <s v="Contract"/>
    <s v="Q0052"/>
    <s v="QUICK DELIVERY, INC"/>
    <s v="Q0052 - QUICK DELIVERY, INC"/>
    <s v="JUANA DIAZ"/>
    <s v="Programa Artesanía"/>
    <x v="4"/>
    <n v="1845.05"/>
    <n v="0"/>
    <n v="1845.05"/>
    <n v="0"/>
    <n v="0"/>
    <s v=""/>
    <s v=""/>
    <m/>
  </r>
  <r>
    <s v="FIE-2017-2018-IIP-0111"/>
    <s v="2020-000425"/>
    <x v="172"/>
    <d v="2020-05-27T00:00:00"/>
    <s v=""/>
    <s v="INCENT ESP"/>
    <s v="Contract"/>
    <s v="Q0050"/>
    <s v="QUICK PRINT SOLUTIONS, LLC "/>
    <s v="Q0050 - QUICK PRINT SOLUTIONS, LLC "/>
    <s v="CANOVANAS"/>
    <s v="IMPRESO DIGITAL"/>
    <x v="5"/>
    <n v="9000"/>
    <n v="0"/>
    <n v="0"/>
    <n v="9000"/>
    <n v="10"/>
    <m/>
    <n v="169392"/>
    <m/>
  </r>
  <r>
    <s v="FIE-2018-2019-IIP-0021"/>
    <s v="En Proceso"/>
    <x v="41"/>
    <s v="En Proceso"/>
    <s v=""/>
    <s v="INCENT ESP"/>
    <s v="Assignment"/>
    <s v="Q0050"/>
    <s v="QUICK PRINT SOLUTIONS, LLC "/>
    <s v="Q0050 - QUICK PRINT SOLUTIONS, LLC "/>
    <s v="CANOVANAS"/>
    <s v="IMPRESO DIGITAL"/>
    <x v="1"/>
    <n v="25000"/>
    <n v="0"/>
    <n v="0"/>
    <n v="25000"/>
    <n v="0"/>
    <n v="24950"/>
    <n v="0"/>
    <m/>
  </r>
  <r>
    <s v="FIE-2018-2019-IIP-0005"/>
    <s v="En Proceso"/>
    <x v="51"/>
    <s v="En Proceso"/>
    <s v=""/>
    <s v="INCENT ESP"/>
    <s v="Assignment"/>
    <m/>
    <s v="R BROTHERS LLC"/>
    <s v="R BROTHERS LLC"/>
    <s v="CAGUAS"/>
    <s v="MANUFACTURA DE BEBIDAS (SANGRIAS)"/>
    <x v="5"/>
    <n v="5000"/>
    <n v="0"/>
    <n v="0"/>
    <n v="5000"/>
    <n v="10"/>
    <n v="12171"/>
    <n v="150800"/>
    <m/>
  </r>
  <r>
    <s v="FIE-2018-2019-IIP-0012"/>
    <s v="2019-000413"/>
    <x v="2"/>
    <d v="2019-04-19T00:00:00"/>
    <s v=""/>
    <s v="INCENT ESP"/>
    <s v="Contract"/>
    <s v="R0218"/>
    <s v="RAFAEL TRINIDAD PELLICIER"/>
    <s v="R0218 - RAFAEL TRINIDAD PELLICIER"/>
    <s v="SAN JUAN"/>
    <s v="Programa Artesanía"/>
    <x v="4"/>
    <n v="1500"/>
    <n v="0"/>
    <n v="1500"/>
    <n v="0"/>
    <n v="0"/>
    <s v=""/>
    <s v=""/>
    <m/>
  </r>
  <r>
    <s v="FIE-2016-2017-IIP-0006"/>
    <s v="2017-000428"/>
    <x v="6"/>
    <d v="2017-05-03T00:00:00"/>
    <s v=""/>
    <s v="INCENT ESP"/>
    <s v="Contract"/>
    <s v="R0600"/>
    <s v="RAFAEL VAZQUEZ NEGRON"/>
    <s v="R0600 - RAFAEL VAZQUEZ NEGRON"/>
    <s v="SAN JUAN"/>
    <s v="Programa Artesanía"/>
    <x v="4"/>
    <n v="2500"/>
    <n v="0"/>
    <n v="2500"/>
    <n v="0"/>
    <n v="0"/>
    <s v=""/>
    <s v=""/>
    <m/>
  </r>
  <r>
    <s v="FIE-2017-2018-IIP-0004"/>
    <s v="2018-000115"/>
    <x v="24"/>
    <d v="2017-10-27T00:00:00"/>
    <s v=""/>
    <s v="INCENT ESP"/>
    <s v="Contract"/>
    <s v="R0600"/>
    <s v="RAFAEL VAZQUEZ NEGRON"/>
    <s v="R0600 - RAFAEL VAZQUEZ NEGRON"/>
    <s v="SAN JUAN"/>
    <s v="Programa Artesanía"/>
    <x v="4"/>
    <n v="1260"/>
    <n v="0"/>
    <n v="1260"/>
    <n v="0"/>
    <n v="0"/>
    <s v=""/>
    <s v=""/>
    <m/>
  </r>
  <r>
    <s v="FIE-2017-2018-IIP-0004"/>
    <s v="2018-000320"/>
    <x v="24"/>
    <d v="2018-03-08T00:00:00"/>
    <s v=""/>
    <s v="INCENT ESP"/>
    <s v="Contract"/>
    <s v="R0600"/>
    <s v="RAFAEL VAZQUEZ NEGRON"/>
    <s v="R0600 - RAFAEL VAZQUEZ NEGRON"/>
    <s v="SAN JUAN"/>
    <s v="Programa Artesanía"/>
    <x v="4"/>
    <n v="1260"/>
    <n v="0"/>
    <n v="1260"/>
    <n v="0"/>
    <n v="0"/>
    <s v=""/>
    <s v=""/>
    <m/>
  </r>
  <r>
    <s v="FIE-2018-2019-IIP-0012"/>
    <s v="2019-000132"/>
    <x v="2"/>
    <d v="2018-09-10T00:00:00"/>
    <s v=""/>
    <s v="INCENT ESP"/>
    <s v="Contract"/>
    <s v="R0600"/>
    <s v="RAFAEL VAZQUEZ NEGRON"/>
    <s v="R0600 - RAFAEL VAZQUEZ NEGRON"/>
    <s v="SAN JUAN"/>
    <s v="Programa Artesanía"/>
    <x v="4"/>
    <n v="1260"/>
    <n v="0"/>
    <n v="1260"/>
    <n v="0"/>
    <n v="0"/>
    <s v=""/>
    <s v=""/>
    <m/>
  </r>
  <r>
    <s v="FIE-2016-2017-IIP-0004"/>
    <s v="2017-000352"/>
    <x v="6"/>
    <d v="2017-02-24T00:00:00"/>
    <s v=""/>
    <s v="INCENT ESP"/>
    <s v="Contract"/>
    <s v="R0559"/>
    <s v="RAMIREZ STARK, CINDY"/>
    <s v="R0559 - RAMIREZ STARK, CINDY"/>
    <s v="SAN JUAN"/>
    <s v="Programa Artesanía"/>
    <x v="4"/>
    <n v="1080"/>
    <n v="0"/>
    <n v="1080"/>
    <n v="0"/>
    <n v="0"/>
    <s v=""/>
    <s v=""/>
    <m/>
  </r>
  <r>
    <s v="FIE-2018-2019-IIP-0012"/>
    <s v="2019-000301"/>
    <x v="2"/>
    <d v="2019-02-21T00:00:00"/>
    <s v=""/>
    <s v="INCENT ESP"/>
    <s v="Contract"/>
    <s v="R0559"/>
    <s v="RAMIREZ STARK, CINDY"/>
    <s v="R0559 - RAMIREZ STARK, CINDY"/>
    <s v="SAN JUAN"/>
    <s v="Programa Artesanía"/>
    <x v="4"/>
    <n v="1260"/>
    <n v="0"/>
    <n v="1260"/>
    <n v="0"/>
    <n v="0"/>
    <s v=""/>
    <s v=""/>
    <m/>
  </r>
  <r>
    <s v="FIE-2019-2020-IIP-0021"/>
    <s v="2020-000119"/>
    <x v="7"/>
    <d v="2019-08-29T00:00:00"/>
    <s v=""/>
    <s v="INCENT ESP"/>
    <s v="Contract"/>
    <s v="R0559"/>
    <s v="RAMIREZ STARK, CINDY"/>
    <s v="R0559 - RAMIREZ STARK, CINDY"/>
    <s v="SAN JUAN"/>
    <s v="Programa Artesanía"/>
    <x v="4"/>
    <n v="1400"/>
    <n v="0"/>
    <n v="1400"/>
    <n v="0"/>
    <n v="0"/>
    <s v=""/>
    <s v=""/>
    <m/>
  </r>
  <r>
    <s v="FIE60-2020-2021-0045"/>
    <s v="En Proceso"/>
    <x v="173"/>
    <s v="En Proceso"/>
    <s v=""/>
    <s v="INCENT LEY 60"/>
    <s v="Assignment"/>
    <m/>
    <s v="RC MANUFACTURING, LLC"/>
    <s v="RC MANUFACTURING, LLC"/>
    <s v="SAN JUAN"/>
    <s v="Alimentos"/>
    <x v="8"/>
    <n v="40000"/>
    <n v="0"/>
    <n v="0"/>
    <n v="40000"/>
    <n v="20"/>
    <m/>
    <n v="280952"/>
    <n v="1.87"/>
  </r>
  <r>
    <s v="FIE60-2020-2021-0046"/>
    <s v="En Proceso"/>
    <x v="173"/>
    <s v="En Proceso"/>
    <s v=""/>
    <s v="INCENT LEY 60"/>
    <s v="Assignment"/>
    <m/>
    <s v="RC MANUFACTURING, LLC"/>
    <s v="RC MANUFACTURING, LLC"/>
    <s v="SAN JUAN"/>
    <s v="Alimentos"/>
    <x v="9"/>
    <n v="50000"/>
    <n v="0"/>
    <n v="0"/>
    <n v="50000"/>
    <n v="0"/>
    <n v="243000"/>
    <m/>
    <n v="1.87"/>
  </r>
  <r>
    <s v="FIE-2017-2018-IIP-0046"/>
    <s v="2018-000200"/>
    <x v="61"/>
    <d v="2017-12-21T00:00:00"/>
    <s v=""/>
    <s v="INCENT ESP"/>
    <s v="Contract"/>
    <s v="R0025"/>
    <s v="REPOSTERIA ARTESANAL LAURA, INC"/>
    <s v="R0025 - REPOSTERIA ARTESANAL LAURA, INC"/>
    <s v="SAN JUAN"/>
    <s v="Incentivo de Emergencias Huracanes - Generadores"/>
    <x v="3"/>
    <n v="10000"/>
    <n v="0"/>
    <n v="10000"/>
    <n v="0"/>
    <n v="0"/>
    <s v=""/>
    <s v=""/>
    <m/>
  </r>
  <r>
    <s v="FIE-2017-2018-IIP-0105"/>
    <s v="2019-000024"/>
    <x v="174"/>
    <d v="2018-07-18T00:00:00"/>
    <s v=""/>
    <s v="INCENT ESP"/>
    <s v="Contract"/>
    <s v="R0658"/>
    <s v="REPR CORP. "/>
    <s v="R0658 - REPR CORP. "/>
    <s v="SAN JUAN"/>
    <s v="Reciclaje"/>
    <x v="5"/>
    <n v="9000"/>
    <n v="0"/>
    <n v="0"/>
    <n v="9000"/>
    <n v="10"/>
    <n v="100000"/>
    <n v="150800"/>
    <m/>
  </r>
  <r>
    <s v="FIE60-2020-2021-0026"/>
    <s v="En Proceso"/>
    <x v="39"/>
    <s v="En Proceso"/>
    <s v=""/>
    <s v="INCENT LEY 60"/>
    <s v="Assignment"/>
    <m/>
    <s v="RINCON BEER COMPANY"/>
    <s v="RINCON BEER COMPANY"/>
    <s v="RINCON"/>
    <s v="BEER MANUFACTURING"/>
    <x v="8"/>
    <n v="25600"/>
    <n v="0"/>
    <n v="0"/>
    <n v="25600"/>
    <n v="16"/>
    <m/>
    <n v="241280"/>
    <n v="0.86"/>
  </r>
  <r>
    <s v="FIE60-2020-2021-0027"/>
    <s v="En Proceso"/>
    <x v="39"/>
    <s v="En Proceso"/>
    <s v=""/>
    <s v="INCENT LEY 60"/>
    <s v="Assignment"/>
    <m/>
    <s v="RINCON BEER COMPANY"/>
    <s v="RINCON BEER COMPANY"/>
    <s v="RINCON"/>
    <s v="BEER MANUFACTURING"/>
    <x v="9"/>
    <n v="46605"/>
    <n v="0"/>
    <n v="0"/>
    <n v="46605"/>
    <n v="0"/>
    <n v="93210"/>
    <m/>
    <n v="0.86"/>
  </r>
  <r>
    <s v="FIE-2017-2018-IIP-0005"/>
    <s v="2019-000032"/>
    <x v="24"/>
    <d v="2018-07-16T00:00:00"/>
    <s v=""/>
    <s v="INCENT ESP"/>
    <s v="Contract"/>
    <s v="R0471"/>
    <s v="RIOS CORTES, JOSE A."/>
    <s v="R0471 - RIOS CORTES, JOSE A."/>
    <s v="SAN JUAN"/>
    <s v="Programa Artesanía"/>
    <x v="4"/>
    <n v="995"/>
    <n v="995"/>
    <n v="0"/>
    <n v="0"/>
    <n v="0"/>
    <s v=""/>
    <s v=""/>
    <m/>
  </r>
  <r>
    <s v="FIE-2016-2017-IIP-0004"/>
    <s v="2017-000185"/>
    <x v="6"/>
    <d v="2016-09-22T00:00:00"/>
    <s v=""/>
    <s v="INCENT ESP"/>
    <s v="Contract"/>
    <s v="R0629"/>
    <s v="RIOS GARCIA, MARITSSA "/>
    <s v="R0629 - RIOS GARCIA, MARITSSA "/>
    <s v="SAN JUAN"/>
    <s v="Programa Artesanía"/>
    <x v="4"/>
    <n v="1080"/>
    <n v="0"/>
    <n v="1080"/>
    <n v="0"/>
    <n v="0"/>
    <s v=""/>
    <s v=""/>
    <m/>
  </r>
  <r>
    <s v="FIE-2017-2018-IIP-0004"/>
    <s v="2018-000126"/>
    <x v="24"/>
    <d v="2017-10-31T00:00:00"/>
    <s v=""/>
    <s v="INCENT ESP"/>
    <s v="Contract"/>
    <s v="R0629"/>
    <s v="RIOS GARCIA, MARITSSA "/>
    <s v="R0629 - RIOS GARCIA, MARITSSA "/>
    <s v="SAN JUAN"/>
    <s v="Programa Artesanía"/>
    <x v="4"/>
    <n v="1260"/>
    <n v="0"/>
    <n v="1260"/>
    <n v="0"/>
    <n v="0"/>
    <s v=""/>
    <s v=""/>
    <m/>
  </r>
  <r>
    <s v="FIE-2018-2019-IIP-0012"/>
    <s v="2019-000128"/>
    <x v="2"/>
    <d v="2018-09-10T00:00:00"/>
    <s v=""/>
    <s v="INCENT ESP"/>
    <s v="Contract"/>
    <s v="R0629"/>
    <s v="RIOS GARCIA, MARITSSA "/>
    <s v="R0629 - RIOS GARCIA, MARITSSA "/>
    <s v="SAN JUAN"/>
    <s v="Programa Artesanía"/>
    <x v="4"/>
    <n v="1080"/>
    <n v="0"/>
    <n v="1080"/>
    <n v="0"/>
    <n v="0"/>
    <s v=""/>
    <s v=""/>
    <m/>
  </r>
  <r>
    <s v="FIE-2018-2019-IIP-0012"/>
    <s v="2019-000294"/>
    <x v="2"/>
    <d v="2019-02-21T00:00:00"/>
    <s v=""/>
    <s v="INCENT ESP"/>
    <s v="Contract"/>
    <s v="R0629"/>
    <s v="RIOS GARCIA, MARITSSA "/>
    <s v="R0629 - RIOS GARCIA, MARITSSA "/>
    <s v="SAN JUAN"/>
    <s v="Programa Artesanía"/>
    <x v="4"/>
    <n v="1260"/>
    <n v="0"/>
    <n v="1260"/>
    <n v="0"/>
    <n v="0"/>
    <s v=""/>
    <s v=""/>
    <m/>
  </r>
  <r>
    <s v="FIE-2019-2020-IIP-0021"/>
    <s v="2020-000117"/>
    <x v="7"/>
    <d v="2019-08-29T00:00:00"/>
    <s v=""/>
    <s v="INCENT ESP"/>
    <s v="Contract"/>
    <s v="R0629"/>
    <s v="RIOS GARCIA, MARITSSA "/>
    <s v="R0629 - RIOS GARCIA, MARITSSA "/>
    <s v="SAN JUAN"/>
    <s v="Programa Artesanía"/>
    <x v="4"/>
    <n v="1260"/>
    <n v="0"/>
    <n v="1260"/>
    <n v="0"/>
    <n v="0"/>
    <s v=""/>
    <s v=""/>
    <m/>
  </r>
  <r>
    <s v="FIE-2019-2020-IIP-0021"/>
    <s v="2020-000387"/>
    <x v="7"/>
    <d v="2020-03-02T00:00:00"/>
    <s v=""/>
    <s v="INCENT ESP"/>
    <s v="Contract"/>
    <s v="R0629"/>
    <s v="RIOS GARCIA, MARITSSA "/>
    <s v="R0629 - RIOS GARCIA, MARITSSA "/>
    <s v="SAN JUAN"/>
    <s v="Programa Artesanía"/>
    <x v="4"/>
    <n v="1260"/>
    <n v="0"/>
    <n v="0"/>
    <n v="1260"/>
    <n v="0"/>
    <s v=""/>
    <s v=""/>
    <m/>
  </r>
  <r>
    <s v="FIE-2018-2019-IIP-0012"/>
    <s v="2019-000463"/>
    <x v="2"/>
    <d v="2019-05-29T00:00:00"/>
    <s v=""/>
    <s v="INCENT ESP"/>
    <s v="Contract"/>
    <s v="R0668"/>
    <s v="RIOS TORRES, EVELYN"/>
    <s v="R0668 - RIOS TORRES, EVELYN"/>
    <s v="SAN JUAN"/>
    <s v="Programa Artesanía"/>
    <x v="4"/>
    <n v="320"/>
    <n v="320"/>
    <n v="0"/>
    <n v="0"/>
    <n v="0"/>
    <s v=""/>
    <s v=""/>
    <m/>
  </r>
  <r>
    <s v="FIE-2018-2019-IIP-0013"/>
    <s v="2020-000064"/>
    <x v="2"/>
    <d v="2019-07-24T00:00:00"/>
    <s v=""/>
    <s v="INCENT ESP"/>
    <s v="Contract"/>
    <s v="R0404"/>
    <s v="RIVERA BOSQUES, MAGDALENA"/>
    <s v="R0404 - RIVERA BOSQUES, MAGDALENA"/>
    <s v="SAN JUAN"/>
    <s v="Programa Artesanía"/>
    <x v="4"/>
    <n v="1000"/>
    <n v="0"/>
    <n v="1000"/>
    <n v="0"/>
    <n v="0"/>
    <s v=""/>
    <s v=""/>
    <m/>
  </r>
  <r>
    <s v="FIE-2016-2017-IIP-0005"/>
    <s v="2017-000426"/>
    <x v="6"/>
    <d v="2017-05-04T00:00:00"/>
    <s v=""/>
    <s v="INCENT ESP"/>
    <s v="Contract"/>
    <s v="R0292"/>
    <s v="RIVERA CARRASQUILLO, LUIS"/>
    <s v="R0292 - RIVERA CARRASQUILLO, LUIS"/>
    <s v="SAN JUAN"/>
    <s v="Programa Artesanía"/>
    <x v="4"/>
    <n v="969.98"/>
    <n v="234"/>
    <n v="735.98"/>
    <n v="0"/>
    <n v="0"/>
    <s v=""/>
    <s v=""/>
    <m/>
  </r>
  <r>
    <s v="FIE-2017-2018-IIP-0006"/>
    <s v="2018-000410"/>
    <x v="24"/>
    <d v="2018-06-28T00:00:00"/>
    <s v=""/>
    <s v="INCENT ESP"/>
    <s v="Contract"/>
    <s v="R0656"/>
    <s v="RIVERA COLON, JORGE L."/>
    <s v="R0656 - RIVERA COLON, JORGE L."/>
    <s v="SAN JUAN"/>
    <s v="Programa Artesanía"/>
    <x v="4"/>
    <n v="2000"/>
    <n v="0"/>
    <n v="2000"/>
    <n v="0"/>
    <n v="0"/>
    <s v=""/>
    <s v=""/>
    <m/>
  </r>
  <r>
    <s v="FIE-2018-2019-IIP-0012"/>
    <s v="2019-000380"/>
    <x v="2"/>
    <d v="2019-03-29T00:00:00"/>
    <s v=""/>
    <s v="INCENT ESP"/>
    <s v="Contract"/>
    <s v="R0462"/>
    <s v="RIVERA GARCIA, GLADYS E. "/>
    <s v="R0462 - RIVERA GARCIA, GLADYS E. "/>
    <s v="SAN JUAN"/>
    <s v="Programa Artesanía"/>
    <x v="4"/>
    <n v="900"/>
    <n v="0"/>
    <n v="900"/>
    <n v="0"/>
    <n v="0"/>
    <s v=""/>
    <s v=""/>
    <m/>
  </r>
  <r>
    <s v="FIE-2016-2017-IIP-0004"/>
    <s v="2017-000315"/>
    <x v="6"/>
    <d v="2017-01-18T00:00:00"/>
    <s v=""/>
    <s v="INCENT ESP"/>
    <s v="Contract"/>
    <s v="R0273"/>
    <s v="RIVERA LOPEZ, NORMA I."/>
    <s v="R0273 - RIVERA LOPEZ, NORMA I."/>
    <s v="SAN JUAN"/>
    <s v="Programa Artesanía"/>
    <x v="4"/>
    <n v="300"/>
    <n v="0"/>
    <n v="300"/>
    <n v="0"/>
    <n v="0"/>
    <s v=""/>
    <s v=""/>
    <m/>
  </r>
  <r>
    <s v="FIE-2018-2019-IIP-0012"/>
    <s v="2019-000295"/>
    <x v="2"/>
    <d v="2019-02-21T00:00:00"/>
    <s v=""/>
    <s v="INCENT ESP"/>
    <s v="Contract"/>
    <s v="R0665"/>
    <s v="RIVERA ORTIZ, ANA W. "/>
    <s v="R0665 - RIVERA ORTIZ, ANA W. "/>
    <s v="SAN JUAN"/>
    <s v="Programa Artesanía"/>
    <x v="4"/>
    <n v="1260"/>
    <n v="0"/>
    <n v="1260"/>
    <n v="0"/>
    <n v="0"/>
    <s v=""/>
    <s v=""/>
    <m/>
  </r>
  <r>
    <s v="FIE-2019-2020-IIP-0021"/>
    <s v="2020-000122"/>
    <x v="7"/>
    <d v="2019-08-29T00:00:00"/>
    <s v=""/>
    <s v="INCENT ESP"/>
    <s v="Contract"/>
    <s v="R0665"/>
    <s v="RIVERA ORTIZ, ANA W. "/>
    <s v="R0665 - RIVERA ORTIZ, ANA W. "/>
    <s v="SAN JUAN"/>
    <s v="Programa Artesanía"/>
    <x v="4"/>
    <n v="1260"/>
    <n v="0"/>
    <n v="1260"/>
    <n v="0"/>
    <n v="0"/>
    <s v=""/>
    <s v=""/>
    <m/>
  </r>
  <r>
    <s v="FIE-2019-2020-IIP-0021"/>
    <s v="2020-000390"/>
    <x v="7"/>
    <d v="2020-03-02T00:00:00"/>
    <s v=""/>
    <s v="INCENT ESP"/>
    <s v="Contract"/>
    <s v="R0665"/>
    <s v="RIVERA ORTIZ, ANA W. "/>
    <s v="R0665 - RIVERA ORTIZ, ANA W. "/>
    <s v="SAN JUAN"/>
    <s v="Programa Artesanía"/>
    <x v="4"/>
    <n v="1260"/>
    <n v="0"/>
    <n v="0"/>
    <n v="1260"/>
    <n v="0"/>
    <s v=""/>
    <s v=""/>
    <m/>
  </r>
  <r>
    <s v="FIE-2017-2018-IIP-0005"/>
    <s v="2018-000084"/>
    <x v="24"/>
    <d v="2017-08-29T00:00:00"/>
    <s v=""/>
    <s v="INCENT ESP"/>
    <s v="Contract"/>
    <s v="R0644"/>
    <s v="RIVERA SANTIAGO, ADALBERTO"/>
    <s v="R0644 - RIVERA SANTIAGO, ADALBERTO"/>
    <s v="SAN JUAN"/>
    <s v="Programa Artesanía"/>
    <x v="4"/>
    <n v="999.99"/>
    <n v="0"/>
    <n v="999.99"/>
    <n v="0"/>
    <n v="0"/>
    <s v=""/>
    <s v=""/>
    <m/>
  </r>
  <r>
    <s v="FIE-2017-2018-IIP-0004"/>
    <s v="2018-000309"/>
    <x v="24"/>
    <d v="2018-03-08T00:00:00"/>
    <s v=""/>
    <s v="INCENT ESP"/>
    <s v="Contract"/>
    <s v="R0644"/>
    <s v="RIVERA SANTIAGO, ADALBERTO"/>
    <s v="R0644 - RIVERA SANTIAGO, ADALBERTO"/>
    <s v="SAN JUAN"/>
    <s v="Programa Artesanía"/>
    <x v="4"/>
    <n v="1260"/>
    <n v="0"/>
    <n v="1260"/>
    <n v="0"/>
    <n v="0"/>
    <s v=""/>
    <s v=""/>
    <m/>
  </r>
  <r>
    <s v="FIE-2018-2019-IIP-0012"/>
    <s v="2019-000126"/>
    <x v="2"/>
    <d v="2018-09-10T00:00:00"/>
    <s v=""/>
    <s v="INCENT ESP"/>
    <s v="Contract"/>
    <s v="R0644"/>
    <s v="RIVERA SANTIAGO, ADALBERTO"/>
    <s v="R0644 - RIVERA SANTIAGO, ADALBERTO"/>
    <s v="SAN JUAN"/>
    <s v="Programa Artesanía"/>
    <x v="4"/>
    <n v="1260"/>
    <n v="0"/>
    <n v="1260"/>
    <n v="0"/>
    <n v="0"/>
    <s v=""/>
    <s v=""/>
    <m/>
  </r>
  <r>
    <s v="FIE-2018-2019-IIP-0012"/>
    <s v="2019-000293"/>
    <x v="2"/>
    <d v="2019-02-21T00:00:00"/>
    <s v=""/>
    <s v="INCENT ESP"/>
    <s v="Contract"/>
    <s v="R0644"/>
    <s v="RIVERA SANTIAGO, ADALBERTO"/>
    <s v="R0644 - RIVERA SANTIAGO, ADALBERTO"/>
    <s v="SAN JUAN"/>
    <s v="Programa Artesanía"/>
    <x v="4"/>
    <n v="1260"/>
    <n v="0"/>
    <n v="1260"/>
    <n v="0"/>
    <n v="0"/>
    <s v=""/>
    <s v=""/>
    <m/>
  </r>
  <r>
    <s v="FIE-2019-2020-IIP-0021"/>
    <s v="2020-000264"/>
    <x v="7"/>
    <d v="2019-12-06T00:00:00"/>
    <s v=""/>
    <s v="INCENT ESP"/>
    <s v="Contract"/>
    <s v="R0211"/>
    <s v="RIVERA SANTIAGO, HECTOR L."/>
    <s v="R0211 - RIVERA SANTIAGO, HECTOR L."/>
    <s v="SAN JUAN"/>
    <s v="Programa Artesanía"/>
    <x v="4"/>
    <n v="100"/>
    <n v="0"/>
    <n v="100"/>
    <n v="0"/>
    <n v="0"/>
    <s v=""/>
    <s v=""/>
    <m/>
  </r>
  <r>
    <s v="FIE-2019-2020-IIP-0021"/>
    <s v="2020-000302"/>
    <x v="7"/>
    <d v="2020-01-17T00:00:00"/>
    <s v=""/>
    <s v="INCENT ESP"/>
    <s v="Contract"/>
    <s v="R0211"/>
    <s v="RIVERA SANTIAGO, HECTOR L."/>
    <s v="R0211 - RIVERA SANTIAGO, HECTOR L."/>
    <s v="SAN JUAN"/>
    <s v="Programa Artesanía"/>
    <x v="4"/>
    <n v="1260"/>
    <n v="0"/>
    <n v="0"/>
    <n v="1260"/>
    <n v="0"/>
    <s v=""/>
    <s v=""/>
    <m/>
  </r>
  <r>
    <s v="FIE-2016-2017-IIP-0004"/>
    <s v="2017-000156"/>
    <x v="6"/>
    <d v="2016-09-06T00:00:00"/>
    <s v=""/>
    <s v="INCENT ESP"/>
    <s v="Contract"/>
    <s v="R0003"/>
    <s v="RIVERA TORRES, JASMINE M."/>
    <s v="R0003 - RIVERA TORRES, JASMINE M."/>
    <s v="SAN JUAN"/>
    <s v="Programa Artesanía"/>
    <x v="4"/>
    <n v="1500"/>
    <n v="0"/>
    <n v="1500"/>
    <n v="0"/>
    <n v="0"/>
    <s v=""/>
    <s v=""/>
    <m/>
  </r>
  <r>
    <s v="FIE-2016-2017-IIP-0004"/>
    <s v="2017-000157"/>
    <x v="6"/>
    <d v="2016-09-06T00:00:00"/>
    <s v=""/>
    <s v="INCENT ESP"/>
    <s v="Contract"/>
    <s v="R0003"/>
    <s v="RIVERA TORRES, JASMINE M."/>
    <s v="R0003 - RIVERA TORRES, JASMINE M."/>
    <s v="SAN JUAN"/>
    <s v="Programa Artesanía"/>
    <x v="4"/>
    <n v="1080"/>
    <n v="0"/>
    <n v="1080"/>
    <n v="0"/>
    <n v="0"/>
    <s v=""/>
    <s v=""/>
    <m/>
  </r>
  <r>
    <s v="FIE-2017-2018-IIP-0007"/>
    <s v="2018-000398"/>
    <x v="24"/>
    <d v="2018-06-19T00:00:00"/>
    <s v=""/>
    <s v="INCENT ESP"/>
    <s v="Contract"/>
    <s v="R0197"/>
    <s v="ROBERTO GONZALEZ ROSADO"/>
    <s v="R0197 - ROBERTO GONZALEZ ROSADO"/>
    <s v="SAN JUAN"/>
    <s v="Programa Artesanía"/>
    <x v="4"/>
    <n v="6000"/>
    <n v="0"/>
    <n v="6000"/>
    <n v="0"/>
    <n v="0"/>
    <s v=""/>
    <s v=""/>
    <m/>
  </r>
  <r>
    <s v="FIE-2018-2019-IIP-0015"/>
    <s v="2019-000508"/>
    <x v="2"/>
    <d v="2019-06-28T00:00:00"/>
    <s v=""/>
    <s v="INCENT ESP"/>
    <s v="Contract"/>
    <s v="R0197"/>
    <s v="ROBERTO GONZALEZ ROSADO"/>
    <s v="R0197 - ROBERTO GONZALEZ ROSADO"/>
    <s v="SAN JUAN"/>
    <s v="Programa Artesanía"/>
    <x v="4"/>
    <n v="3400"/>
    <n v="0"/>
    <n v="3400"/>
    <n v="0"/>
    <n v="0"/>
    <s v=""/>
    <s v=""/>
    <m/>
  </r>
  <r>
    <s v="FIE-2016-2017-IIP-0067"/>
    <s v="2018-000292-A"/>
    <x v="175"/>
    <d v="2020-02-20T00:00:00"/>
    <s v=""/>
    <s v="INCENT ESP"/>
    <s v="Contract"/>
    <s v="R0633"/>
    <s v="RODRIGUEZ ENTERPRISES, INC."/>
    <s v="R0633 - RODRIGUEZ ENTERPRISES, INC."/>
    <s v="GUAYAMA"/>
    <s v="Alimentos"/>
    <x v="1"/>
    <n v="90000"/>
    <n v="0"/>
    <n v="50000"/>
    <n v="40000"/>
    <n v="0"/>
    <n v="200000"/>
    <m/>
    <m/>
  </r>
  <r>
    <s v="FIE-2017-2018-IIP-0109"/>
    <s v="2018-000329"/>
    <x v="124"/>
    <d v="2018-03-26T00:00:00"/>
    <s v=""/>
    <s v="INCENT ESP"/>
    <s v="Contract"/>
    <s v="R0633"/>
    <s v="RODRIGUEZ ENTERPRISES, INC."/>
    <s v="R0633 - RODRIGUEZ ENTERPRISES, INC."/>
    <s v="GUAYAMA"/>
    <s v="Comercial Bakery"/>
    <x v="5"/>
    <n v="16800"/>
    <n v="0"/>
    <n v="0"/>
    <n v="16800"/>
    <n v="12"/>
    <m/>
    <n v="180960"/>
    <m/>
  </r>
  <r>
    <s v="FIE-2019-2020-IIP-0072"/>
    <s v="2020-000361"/>
    <x v="49"/>
    <d v="2020-02-20T00:00:00"/>
    <s v=""/>
    <s v="INCENT ESP"/>
    <s v="Contract"/>
    <s v="R0633"/>
    <s v="RODRIGUEZ ENTERPRISES, INC."/>
    <s v="R0633 - RODRIGUEZ ENTERPRISES, INC."/>
    <s v="GUAYAMA"/>
    <s v="Alimentos"/>
    <x v="1"/>
    <n v="45717.5"/>
    <n v="0"/>
    <n v="0"/>
    <n v="45717.5"/>
    <n v="0"/>
    <n v="91435"/>
    <n v="0"/>
    <m/>
  </r>
  <r>
    <s v="FIE-2017-2018-IIP-0004"/>
    <s v="2018-000119"/>
    <x v="24"/>
    <d v="2017-10-31T00:00:00"/>
    <s v=""/>
    <s v="INCENT ESP"/>
    <s v="Contract"/>
    <s v="R0575"/>
    <s v="RODRIGUEZ RIOS, ROBOAM"/>
    <s v="R0575 - RODRIGUEZ RIOS, ROBOAM"/>
    <s v="SAN JUAN"/>
    <s v="Programa Artesanía"/>
    <x v="4"/>
    <n v="1080"/>
    <n v="0"/>
    <n v="1080"/>
    <n v="0"/>
    <n v="0"/>
    <s v=""/>
    <s v=""/>
    <m/>
  </r>
  <r>
    <s v="FIE-2019-2020-IIP-0021"/>
    <s v="2020-000393"/>
    <x v="7"/>
    <d v="2020-03-02T00:00:00"/>
    <s v=""/>
    <s v="INCENT ESP"/>
    <s v="Contract"/>
    <s v="R0575"/>
    <s v="RODRIGUEZ RIOS, ROBOAM"/>
    <s v="R0575 - RODRIGUEZ RIOS, ROBOAM"/>
    <s v="SAN JUAN"/>
    <s v="Programa Artesanía"/>
    <x v="4"/>
    <n v="1080"/>
    <n v="1080"/>
    <n v="0"/>
    <n v="0"/>
    <n v="0"/>
    <s v=""/>
    <s v=""/>
    <m/>
  </r>
  <r>
    <s v="FIE-2017-2018-IIP-0004"/>
    <s v="2018-000290"/>
    <x v="24"/>
    <d v="2018-02-20T00:00:00"/>
    <s v=""/>
    <s v="INCENT ESP"/>
    <s v="Contract"/>
    <s v="R0457"/>
    <s v="RODRIGUEZ RODRIGUEZ, GLADYS "/>
    <s v="R0457 - RODRIGUEZ RODRIGUEZ, GLADYS "/>
    <s v="SAN JUAN"/>
    <s v="Programa Artesanía"/>
    <x v="4"/>
    <n v="1500"/>
    <n v="0"/>
    <n v="1500"/>
    <n v="0"/>
    <n v="0"/>
    <s v=""/>
    <s v=""/>
    <m/>
  </r>
  <r>
    <s v="FIE-2016-2017-IIP-0004"/>
    <s v="2017-000323"/>
    <x v="6"/>
    <d v="2017-01-30T00:00:00"/>
    <s v=""/>
    <s v="INCENT ESP"/>
    <s v="Contract"/>
    <s v="P0074"/>
    <s v="ROJESIE, INC."/>
    <s v="P0074 - ROJESIE, INC."/>
    <s v="SAN JUAN"/>
    <s v="Programa Artesanía"/>
    <x v="4"/>
    <n v="7050"/>
    <n v="0"/>
    <n v="7050"/>
    <n v="0"/>
    <n v="0"/>
    <s v=""/>
    <s v=""/>
    <m/>
  </r>
  <r>
    <s v="FIE-2017-2018-IIP-0004"/>
    <s v="2018-000085"/>
    <x v="24"/>
    <d v="2017-08-25T00:00:00"/>
    <s v=""/>
    <s v="INCENT ESP"/>
    <s v="Contract"/>
    <s v="P0074"/>
    <s v="ROJESIE, INC."/>
    <s v="P0074 - ROJESIE, INC."/>
    <s v="SAN JUAN"/>
    <s v="Programa Artesanía"/>
    <x v="4"/>
    <n v="3400"/>
    <n v="0"/>
    <n v="3400"/>
    <n v="0"/>
    <n v="0"/>
    <s v=""/>
    <s v=""/>
    <m/>
  </r>
  <r>
    <s v="FIE-2017-2018-IIP-0004"/>
    <s v="2018-000296"/>
    <x v="24"/>
    <d v="2018-02-22T00:00:00"/>
    <s v=""/>
    <s v="INCENT ESP"/>
    <s v="Contract"/>
    <s v="P0074"/>
    <s v="ROJESIE, INC."/>
    <s v="P0074 - ROJESIE, INC."/>
    <s v="SAN JUAN"/>
    <s v="Programa Artesanía"/>
    <x v="4"/>
    <n v="5750"/>
    <n v="0"/>
    <n v="5750"/>
    <n v="0"/>
    <n v="0"/>
    <s v=""/>
    <s v=""/>
    <m/>
  </r>
  <r>
    <s v="FIE-2018-2019-IIP-0012"/>
    <s v="2019-000076"/>
    <x v="2"/>
    <d v="2018-08-15T00:00:00"/>
    <s v=""/>
    <s v="INCENT ESP"/>
    <s v="Contract"/>
    <s v="P0074"/>
    <s v="ROJESIE, INC."/>
    <s v="P0074 - ROJESIE, INC."/>
    <s v="SAN JUAN"/>
    <s v="Programa Artesanía"/>
    <x v="4"/>
    <n v="3400"/>
    <n v="0"/>
    <n v="3400"/>
    <n v="0"/>
    <n v="0"/>
    <s v=""/>
    <s v=""/>
    <m/>
  </r>
  <r>
    <s v="FIE-2018-2019-IIP-0012"/>
    <s v="2019-000271"/>
    <x v="2"/>
    <d v="2019-02-11T00:00:00"/>
    <s v=""/>
    <s v="INCENT ESP"/>
    <s v="Contract"/>
    <s v="P0074"/>
    <s v="ROJESIE, INC."/>
    <s v="P0074 - ROJESIE, INC."/>
    <s v="SAN JUAN"/>
    <s v="Programa Artesanía"/>
    <x v="4"/>
    <n v="5750"/>
    <n v="0"/>
    <n v="5750"/>
    <n v="0"/>
    <n v="0"/>
    <s v=""/>
    <s v=""/>
    <m/>
  </r>
  <r>
    <s v="FIE-2019-2020-IIP-0021"/>
    <s v="2020-000178"/>
    <x v="7"/>
    <d v="2019-10-15T00:00:00"/>
    <s v=""/>
    <s v="INCENT ESP"/>
    <s v="Contract"/>
    <s v="P0074"/>
    <s v="ROJESIE, INC."/>
    <s v="P0074 - ROJESIE, INC."/>
    <s v="SAN JUAN"/>
    <s v="Programa Artesanía"/>
    <x v="4"/>
    <n v="4700"/>
    <n v="0"/>
    <n v="0"/>
    <n v="4700"/>
    <n v="0"/>
    <s v=""/>
    <s v=""/>
    <m/>
  </r>
  <r>
    <s v="FIE-2019-2020-IIP-0021"/>
    <s v="2020-000381"/>
    <x v="7"/>
    <d v="2020-02-28T00:00:00"/>
    <s v=""/>
    <s v="INCENT ESP"/>
    <s v="Contract"/>
    <s v="P0074"/>
    <s v="ROJESIE, INC."/>
    <s v="P0074 - ROJESIE, INC."/>
    <s v="SAN JUAN"/>
    <s v="Programa Artesanía"/>
    <x v="4"/>
    <n v="5750"/>
    <n v="0"/>
    <n v="0"/>
    <n v="5750"/>
    <n v="0"/>
    <s v=""/>
    <s v=""/>
    <m/>
  </r>
  <r>
    <s v="FIE-2018-2019-IIP-0013"/>
    <s v="2019-000270"/>
    <x v="2"/>
    <d v="2019-02-05T00:00:00"/>
    <s v=""/>
    <s v="INCENT ESP"/>
    <s v="Contract"/>
    <s v="R0663"/>
    <s v="ROMAN PEREZ, HECTOR M."/>
    <s v="R0663 - ROMAN PEREZ, HECTOR M."/>
    <s v="SAN JUAN"/>
    <s v="Programa Artesanía"/>
    <x v="4"/>
    <n v="871.29"/>
    <n v="871.29"/>
    <n v="0"/>
    <n v="0"/>
    <n v="0"/>
    <s v=""/>
    <s v=""/>
    <m/>
  </r>
  <r>
    <s v="FIE-2017-2018-IIP-0036"/>
    <s v="2018-000255"/>
    <x v="75"/>
    <d v="2017-12-28T00:00:00"/>
    <s v=""/>
    <s v="INCENT ESP"/>
    <s v="Contract"/>
    <s v="R0395"/>
    <s v="RONDA PRO, INC."/>
    <s v="R0395 - RONDA PRO, INC."/>
    <s v="GUAYNABO"/>
    <s v="Incentivo de Emergencias Huracanes - Generadores"/>
    <x v="3"/>
    <n v="25000"/>
    <n v="25000"/>
    <n v="0"/>
    <n v="0"/>
    <n v="0"/>
    <s v=""/>
    <s v=""/>
    <m/>
  </r>
  <r>
    <s v="FIE-2019-2020-IIP-0053"/>
    <s v="En Proceso"/>
    <x v="28"/>
    <s v="En Proceso"/>
    <s v=""/>
    <s v="INCENT ESP"/>
    <s v="Assignment"/>
    <s v="R0395"/>
    <s v="RONDA PRO, INC."/>
    <s v="R0395 - RONDA PRO, INC."/>
    <s v="GUAYNABO"/>
    <s v="MFG de uniformes, estampados y rotulación"/>
    <x v="5"/>
    <n v="10000"/>
    <n v="0"/>
    <n v="0"/>
    <n v="10000"/>
    <n v="5"/>
    <m/>
    <n v="650000"/>
    <m/>
  </r>
  <r>
    <s v="FIE-2019-2020-IIP-0055"/>
    <s v="En Proceso"/>
    <x v="28"/>
    <s v="En Proceso"/>
    <s v=""/>
    <s v="INCENT ESP"/>
    <s v="Assignment"/>
    <s v="R0395"/>
    <s v="RONDA PRO, INC."/>
    <s v="R0395 - RONDA PRO, INC."/>
    <s v="GUAYNABO"/>
    <s v="MFG de uniformes, estampados y rotulación"/>
    <x v="1"/>
    <n v="50000"/>
    <n v="0"/>
    <n v="0"/>
    <n v="50000"/>
    <n v="0"/>
    <m/>
    <m/>
    <m/>
  </r>
  <r>
    <s v="FIE-2019-2020-IIP-0054"/>
    <s v="En Proceso"/>
    <x v="28"/>
    <s v="En Proceso"/>
    <s v=""/>
    <s v="INCENT ESP"/>
    <s v="Assignment"/>
    <s v="R0395"/>
    <s v="RONDA PRO, INC."/>
    <s v="R0395 - RONDA PRO, INC."/>
    <s v="GUAYNABO"/>
    <s v="MFG de uniformes, estampados y rotulación"/>
    <x v="2"/>
    <n v="100000"/>
    <n v="0"/>
    <n v="0"/>
    <n v="100000"/>
    <n v="0"/>
    <n v="250000"/>
    <m/>
    <m/>
  </r>
  <r>
    <s v="FIE-2017-2018-IIP-0096"/>
    <s v="2018-000283"/>
    <x v="5"/>
    <d v="2018-02-12T00:00:00"/>
    <s v=""/>
    <s v="INCENT ESP"/>
    <s v="Contract"/>
    <s v="R0649"/>
    <s v="RONES SUPERIORES DE PUERTO RICO &amp; CO, INC."/>
    <s v="R0649 - RONES SUPERIORES DE PUERTO RICO &amp; CO, INC."/>
    <s v="CABO ROJO"/>
    <s v="Industria del Ron"/>
    <x v="5"/>
    <n v="11500"/>
    <n v="0"/>
    <n v="0"/>
    <n v="11500"/>
    <n v="10"/>
    <s v=""/>
    <s v=""/>
    <m/>
  </r>
  <r>
    <s v="FE-2016-2017-0029"/>
    <s v="2018-000284-A"/>
    <x v="176"/>
    <d v="2019-10-18T00:00:00"/>
    <d v="2021-11-02T00:00:00"/>
    <s v="INCENT FEDE"/>
    <s v="Contract"/>
    <s v="R0649"/>
    <s v="RONES SUPERIORES DE PUERTO RICO &amp; CO., INC."/>
    <s v="R0649 - RONES SUPERIORES DE PUERTO RICO &amp; CO., INC."/>
    <s v="CABO ROJO"/>
    <s v="Industria del Ron"/>
    <x v="2"/>
    <n v="155960"/>
    <n v="0"/>
    <n v="0"/>
    <n v="155960"/>
    <n v="0"/>
    <n v="617000"/>
    <n v="150800"/>
    <m/>
  </r>
  <r>
    <s v="FIE-2019-2020-IIE-0037"/>
    <s v="2020-000296"/>
    <x v="78"/>
    <d v="2020-01-14T00:00:00"/>
    <s v=""/>
    <s v="INCENT ESP"/>
    <s v="Contract"/>
    <s v="R0670"/>
    <s v="ROOF MAX TECHNOLOGIES, LLC"/>
    <s v="R0670 - ROOF MAX TECHNOLOGIES, LLC"/>
    <s v="AGUADILLA"/>
    <s v="Manufactura"/>
    <x v="5"/>
    <n v="42000"/>
    <n v="0"/>
    <n v="0"/>
    <n v="42000"/>
    <n v="14"/>
    <m/>
    <n v="1177866"/>
    <m/>
  </r>
  <r>
    <s v="FIE-2019-2020-IIE-0039"/>
    <s v="2020-000298"/>
    <x v="78"/>
    <d v="2020-01-14T00:00:00"/>
    <s v=""/>
    <s v="INCENT ESP"/>
    <s v="Contract"/>
    <s v="R0670"/>
    <s v="ROOF MAX TECHNOLOGIES, LLC"/>
    <s v="R0670 - ROOF MAX TECHNOLOGIES, LLC"/>
    <s v="AGUADILLA"/>
    <s v="Alimentos"/>
    <x v="1"/>
    <n v="100000"/>
    <n v="0"/>
    <n v="0"/>
    <n v="100000"/>
    <n v="0"/>
    <m/>
    <m/>
    <m/>
  </r>
  <r>
    <s v="FIE-2019-2020-IIE-0038"/>
    <s v="2020-000297"/>
    <x v="78"/>
    <d v="2020-01-14T00:00:00"/>
    <s v=""/>
    <s v="INCENT ESP"/>
    <s v="Contract"/>
    <s v="R0670"/>
    <s v="ROOF MAX TECHNOLOGIES, LLC"/>
    <s v="R0670 - ROOF MAX TECHNOLOGIES, LLC"/>
    <s v="AGUADILLA"/>
    <s v="Manufactura"/>
    <x v="2"/>
    <n v="100000"/>
    <n v="0"/>
    <n v="0"/>
    <n v="100000"/>
    <n v="0"/>
    <n v="500000"/>
    <m/>
    <m/>
  </r>
  <r>
    <s v="FIE-2016-2017-IIP-0004"/>
    <s v="2017-000180"/>
    <x v="6"/>
    <d v="2016-09-22T00:00:00"/>
    <s v=""/>
    <s v="INCENT ESP"/>
    <s v="Contract"/>
    <s v="R0611"/>
    <s v="ROSADO MONTALVO, ROSA M."/>
    <s v="R0611 - ROSADO MONTALVO, ROSA M."/>
    <s v="SAN JUAN"/>
    <s v="Programa Artesanía"/>
    <x v="4"/>
    <n v="1080"/>
    <n v="0"/>
    <n v="1080"/>
    <n v="0"/>
    <n v="0"/>
    <s v=""/>
    <s v=""/>
    <m/>
  </r>
  <r>
    <s v="FIE-2016-2017-IIP-0004"/>
    <s v="2017-000362"/>
    <x v="6"/>
    <d v="2017-02-22T00:00:00"/>
    <s v=""/>
    <s v="INCENT ESP"/>
    <s v="Contract"/>
    <s v="R0611"/>
    <s v="ROSADO MONTALVO, ROSA M."/>
    <s v="R0611 - ROSADO MONTALVO, ROSA M."/>
    <s v="SAN JUAN"/>
    <s v="Programa Artesanía"/>
    <x v="4"/>
    <n v="1080"/>
    <n v="0"/>
    <n v="1080"/>
    <n v="0"/>
    <n v="0"/>
    <s v=""/>
    <s v=""/>
    <m/>
  </r>
  <r>
    <s v="FIE-2019-2020-IIP-0021"/>
    <s v="2020-000153"/>
    <x v="7"/>
    <d v="2019-09-20T00:00:00"/>
    <s v=""/>
    <s v="INCENT ESP"/>
    <s v="Contract"/>
    <s v="R0611"/>
    <s v="ROSADO MONTALVO, ROSA M."/>
    <s v="R0611 - ROSADO MONTALVO, ROSA M."/>
    <s v="SAN JUAN"/>
    <s v="Programa Artesanía"/>
    <x v="4"/>
    <n v="590"/>
    <n v="0"/>
    <n v="590"/>
    <n v="0"/>
    <n v="0"/>
    <s v=""/>
    <s v=""/>
    <m/>
  </r>
  <r>
    <s v="FIE-2016-2017-IIP-0005"/>
    <s v="2018-000044"/>
    <x v="6"/>
    <d v="2017-07-21T00:00:00"/>
    <s v=""/>
    <s v="INCENT ESP"/>
    <s v="Contract"/>
    <s v="R0641"/>
    <s v="ROSADO SOTO, LILLIAM"/>
    <s v="R0641 - ROSADO SOTO, LILLIAM"/>
    <s v="SAN JUAN"/>
    <s v="Programa Artesanía"/>
    <x v="4"/>
    <n v="829.63"/>
    <n v="829.63"/>
    <n v="0"/>
    <n v="0"/>
    <n v="0"/>
    <s v=""/>
    <s v=""/>
    <m/>
  </r>
  <r>
    <s v="FIE-2017-2018-IIP-0005"/>
    <s v="2019-000065"/>
    <x v="24"/>
    <d v="2018-08-08T00:00:00"/>
    <s v=""/>
    <s v="INCENT ESP"/>
    <s v="Contract"/>
    <s v="R0641"/>
    <s v="ROSADO SOTO, LILLIAM"/>
    <s v="R0641 - ROSADO SOTO, LILLIAM"/>
    <s v="SAN JUAN"/>
    <s v="Programa Artesanía"/>
    <x v="4"/>
    <n v="769.01"/>
    <n v="0"/>
    <n v="769.01"/>
    <n v="0"/>
    <n v="0"/>
    <s v=""/>
    <s v=""/>
    <m/>
  </r>
  <r>
    <s v="FIE-2017-2018-IIP-0005"/>
    <s v="2018-000277"/>
    <x v="24"/>
    <d v="2018-02-01T00:00:00"/>
    <s v=""/>
    <s v="INCENT ESP"/>
    <s v="Contract"/>
    <s v="R0576"/>
    <s v="ROSARIO CORA, IVONNE"/>
    <s v="R0576 - ROSARIO CORA, IVONNE"/>
    <s v="SAN JUAN"/>
    <s v="Programa Artesanía"/>
    <x v="4"/>
    <n v="1000"/>
    <n v="0"/>
    <n v="1000"/>
    <n v="0"/>
    <n v="0"/>
    <s v=""/>
    <s v=""/>
    <m/>
  </r>
  <r>
    <s v="FIE-2017-2018-IIP-0005"/>
    <s v="2018-000096"/>
    <x v="24"/>
    <d v="2017-09-11T00:00:00"/>
    <s v=""/>
    <s v="INCENT ESP"/>
    <s v="Contract"/>
    <s v="R0651"/>
    <s v="ROSSELLO LEDESMA, DANIELA"/>
    <s v="R0651 - ROSSELLO LEDESMA, DANIELA"/>
    <s v="SAN JUAN"/>
    <s v="Programa Artesanía"/>
    <x v="4"/>
    <n v="1000"/>
    <n v="0"/>
    <n v="1000"/>
    <n v="0"/>
    <n v="0"/>
    <s v=""/>
    <s v=""/>
    <m/>
  </r>
  <r>
    <s v="FE-2019-2020-0037"/>
    <s v="2020-000237"/>
    <x v="4"/>
    <d v="2019-11-15T00:00:00"/>
    <s v="14/11/2024"/>
    <s v="INCENT FEDE"/>
    <s v="Contract"/>
    <s v="R8425"/>
    <s v="ROVIRA BISCUIT CORPORATION"/>
    <s v="R8425 - ROVIRA BISCUIT CORPORATION"/>
    <s v="PONCE"/>
    <s v="Manufactura de productos fritos (&quot;Snack Food Manufacturing&quot;)"/>
    <x v="5"/>
    <n v="275000"/>
    <n v="0"/>
    <n v="0"/>
    <n v="275000"/>
    <n v="275"/>
    <m/>
    <n v="80000"/>
    <m/>
  </r>
  <r>
    <s v="FE-2019-2020-0038"/>
    <s v="2020-000236"/>
    <x v="4"/>
    <d v="2019-11-15T00:00:00"/>
    <s v="14/11/2024"/>
    <s v="INCENT FEDE"/>
    <s v="Contract"/>
    <s v="R8425"/>
    <s v="ROVIRA BISCUIT CORPORATION"/>
    <s v="R8425 - ROVIRA BISCUIT CORPORATION"/>
    <s v="PONCE"/>
    <s v="Manufactura de productos fritos (&quot;Snack Food Manufacturing&quot;)"/>
    <x v="2"/>
    <n v="200000"/>
    <n v="0"/>
    <n v="0"/>
    <n v="200000"/>
    <n v="0"/>
    <n v="407146"/>
    <m/>
    <m/>
  </r>
  <r>
    <s v="FIE-2018-2019-IIP-0011"/>
    <s v="2019-000509"/>
    <x v="2"/>
    <d v="2019-06-28T00:00:00"/>
    <s v=""/>
    <s v="INCENT ESP"/>
    <s v="Contract"/>
    <s v="R9001"/>
    <s v="ROVIRA FOODS, INC"/>
    <s v="R9001 - ROVIRA FOODS, INC"/>
    <s v="SAN JUAN"/>
    <s v="Alimentos"/>
    <x v="0"/>
    <n v="50000"/>
    <n v="0"/>
    <n v="44314.6"/>
    <n v="5685.4000000000015"/>
    <n v="0"/>
    <s v=""/>
    <s v=""/>
    <m/>
  </r>
  <r>
    <s v="FIE-2018-2019-IIP-0015"/>
    <s v="2020-000014"/>
    <x v="2"/>
    <d v="2019-07-12T00:00:00"/>
    <s v=""/>
    <s v="INCENT ESP"/>
    <s v="Contract"/>
    <s v="R0671"/>
    <s v="ROYAL CLUB CONVENTION CENTER"/>
    <s v="R0671 - ROYAL CLUB CONVENTION CENTER"/>
    <s v="SAN JUAN"/>
    <s v="Programa Artesanía"/>
    <x v="4"/>
    <n v="13500"/>
    <n v="0"/>
    <n v="13500"/>
    <n v="0"/>
    <n v="0"/>
    <s v=""/>
    <s v=""/>
    <m/>
  </r>
  <r>
    <s v="FIE-2018-2019-IIP-0013"/>
    <s v="2020-000006"/>
    <x v="2"/>
    <d v="2019-07-03T00:00:00"/>
    <s v=""/>
    <s v="INCENT ESP"/>
    <s v="Contract"/>
    <s v="R0672"/>
    <s v="RUIZ ADROVER, NORBERTO J."/>
    <s v="R0672 - RUIZ ADROVER, NORBERTO J."/>
    <s v="SAN JUAN"/>
    <s v="Programa Artesanía"/>
    <x v="4"/>
    <n v="736.99"/>
    <n v="462.99"/>
    <n v="274"/>
    <n v="0"/>
    <n v="0"/>
    <s v=""/>
    <s v=""/>
    <m/>
  </r>
  <r>
    <s v="FIE-2018-2019-IIP-0012"/>
    <s v="2019-000466"/>
    <x v="2"/>
    <d v="2019-05-29T00:00:00"/>
    <s v=""/>
    <s v="INCENT ESP"/>
    <s v="Contract"/>
    <s v="R0669"/>
    <s v="RUIZ GONZALEZ, LUZ D. "/>
    <s v="R0669 - RUIZ GONZALEZ, LUZ D. "/>
    <s v="SAN JUAN"/>
    <s v="Programa Artesanía"/>
    <x v="4"/>
    <n v="320"/>
    <n v="296.05"/>
    <n v="23.95"/>
    <n v="0"/>
    <n v="0"/>
    <s v=""/>
    <s v=""/>
    <m/>
  </r>
  <r>
    <s v="FIE-2017-2018-IIP-0006"/>
    <s v="2018-000411"/>
    <x v="24"/>
    <d v="2018-06-29T00:00:00"/>
    <s v=""/>
    <s v="INCENT ESP"/>
    <s v="Contract"/>
    <s v="R0657"/>
    <s v="RUIZ ROMAN, NESTOR"/>
    <s v="R0657 - RUIZ ROMAN, NESTOR"/>
    <s v="SAN JUAN"/>
    <s v="Programa Artesanía"/>
    <x v="4"/>
    <n v="2000"/>
    <n v="0"/>
    <n v="2000"/>
    <n v="0"/>
    <n v="0"/>
    <s v=""/>
    <s v=""/>
    <m/>
  </r>
  <r>
    <s v="FIE-2017-2018-IIP-0091"/>
    <s v="2018-000231"/>
    <x v="63"/>
    <d v="2017-12-29T00:00:00"/>
    <s v=""/>
    <s v="INCENT ESP"/>
    <s v="Contract"/>
    <s v="S0362"/>
    <s v="SABRINA BOTTLING GROUP, INC."/>
    <s v="S0362 - SABRINA BOTTLING GROUP, INC."/>
    <s v="SAN JUAN"/>
    <s v="Incentivo de Emergencias Huracanes - Generadores"/>
    <x v="3"/>
    <n v="22950"/>
    <n v="22950"/>
    <n v="0"/>
    <n v="0"/>
    <n v="0"/>
    <s v=""/>
    <s v=""/>
    <m/>
  </r>
  <r>
    <s v="FIE-2018-2019-IIP-0030"/>
    <s v="2020-000382"/>
    <x v="20"/>
    <d v="2020-02-28T00:00:00"/>
    <s v=""/>
    <s v="INCENT ESP"/>
    <s v="Contract"/>
    <s v="S0502"/>
    <s v="SAFETYLINKED, INC,"/>
    <s v="S0502 - SAFETYLINKED, INC,"/>
    <s v="BAYAMON"/>
    <s v="Tecnología"/>
    <x v="7"/>
    <n v="50000"/>
    <n v="0"/>
    <n v="25000"/>
    <n v="25000"/>
    <n v="0"/>
    <s v=""/>
    <s v=""/>
    <m/>
  </r>
  <r>
    <s v="FIE-2018-2019-IIP-0013"/>
    <s v="2019-000445"/>
    <x v="2"/>
    <d v="2019-05-13T00:00:00"/>
    <s v=""/>
    <s v="INCENT ESP"/>
    <s v="Contract"/>
    <s v="S0260"/>
    <s v="SALAZAR TAVARA, GINA"/>
    <s v="S0260 - SALAZAR TAVARA, GINA"/>
    <s v="SAN JUAN"/>
    <s v="Programa Artesanía"/>
    <x v="4"/>
    <n v="984.15"/>
    <n v="0"/>
    <n v="984.15"/>
    <n v="0"/>
    <n v="0"/>
    <s v=""/>
    <s v=""/>
    <m/>
  </r>
  <r>
    <s v="FIE-2017-2018-IIP-0008"/>
    <s v="2019-000146"/>
    <x v="24"/>
    <d v="2018-09-27T00:00:00"/>
    <s v=""/>
    <s v="INCENT ESP"/>
    <s v="Contract"/>
    <s v="S2000"/>
    <s v="SAN MAR MANUFACTURING CORP."/>
    <s v="S2000 - SAN MAR MANUFACTURING CORP."/>
    <s v="CATAÑO"/>
    <s v="Manufactura a escala commercial de jugos de frutas"/>
    <x v="0"/>
    <n v="50000"/>
    <n v="0"/>
    <n v="0"/>
    <n v="50000"/>
    <n v="0"/>
    <s v=""/>
    <s v=""/>
    <m/>
  </r>
  <r>
    <s v="FIE-2017-2018-IIP-0074"/>
    <s v="2018-000205"/>
    <x v="5"/>
    <d v="2017-12-21T00:00:00"/>
    <s v=""/>
    <s v="INCENT ESP"/>
    <s v="Contract"/>
    <s v="S2000"/>
    <s v="SAN MAR MANUFACTURING CORP."/>
    <s v="S2000 - SAN MAR MANUFACTURING CORP."/>
    <s v="CATAÑO"/>
    <s v="Incentivo de Emergencias Huracanes - Generadores"/>
    <x v="3"/>
    <n v="18500"/>
    <n v="0"/>
    <n v="18500"/>
    <n v="0"/>
    <n v="0"/>
    <s v=""/>
    <s v=""/>
    <m/>
  </r>
  <r>
    <s v="FIE-2018-2019-IIP-0033"/>
    <s v="2019-000304"/>
    <x v="177"/>
    <d v="2019-02-25T00:00:00"/>
    <s v=""/>
    <s v="INCENT ESP"/>
    <s v="Contract"/>
    <s v="S2000"/>
    <s v="SAN MAR MANUFACTURING CORP."/>
    <s v="S2000 - SAN MAR MANUFACTURING CORP."/>
    <s v="CATAÑO"/>
    <s v="Manufactura a escala commercial de jugos de frutas"/>
    <x v="5"/>
    <n v="46230"/>
    <n v="0"/>
    <n v="0"/>
    <n v="46230"/>
    <n v="23"/>
    <n v="45000"/>
    <n v="347000"/>
    <m/>
  </r>
  <r>
    <s v="FIE-2016-2017-IIP-0004"/>
    <s v="2017-000174"/>
    <x v="6"/>
    <d v="2016-09-15T00:00:00"/>
    <s v=""/>
    <s v="INCENT ESP"/>
    <s v="Contract"/>
    <s v="S0434"/>
    <s v="SANCHEZ CLASS, ALFREDO"/>
    <s v="S0434 - SANCHEZ CLASS, ALFREDO"/>
    <s v="SAN JUAN"/>
    <s v="Programa Artesanía"/>
    <x v="4"/>
    <n v="750"/>
    <n v="204"/>
    <n v="546"/>
    <n v="0"/>
    <n v="0"/>
    <s v=""/>
    <s v=""/>
    <m/>
  </r>
  <r>
    <s v="FIE-2016-2017-IIP-0005"/>
    <s v="2017-000466"/>
    <x v="6"/>
    <d v="2017-06-27T00:00:00"/>
    <s v=""/>
    <s v="INCENT ESP"/>
    <s v="Contract"/>
    <s v="S0449"/>
    <s v="SANCHEZ RODRIGUEZ, ALEXIS M."/>
    <s v="S0449 - SANCHEZ RODRIGUEZ, ALEXIS M."/>
    <s v="SAN JUAN"/>
    <s v="Programa Artesanía"/>
    <x v="4"/>
    <n v="424"/>
    <n v="0"/>
    <n v="424"/>
    <n v="0"/>
    <n v="0"/>
    <s v=""/>
    <s v=""/>
    <m/>
  </r>
  <r>
    <s v="FIE-2016-2017-IIP-0005"/>
    <s v="2017-000471"/>
    <x v="6"/>
    <d v="2017-06-28T00:00:00"/>
    <s v=""/>
    <s v="INCENT ESP"/>
    <s v="Contract"/>
    <s v="S0450"/>
    <s v="SANCHEZ SURILLO, MAYRA"/>
    <s v="S0450 - SANCHEZ SURILLO, MAYRA"/>
    <s v="SAN JUAN"/>
    <s v="Programa Artesanía"/>
    <x v="4"/>
    <n v="997.18"/>
    <n v="0"/>
    <n v="997.18"/>
    <n v="0"/>
    <n v="0"/>
    <s v=""/>
    <s v=""/>
    <m/>
  </r>
  <r>
    <s v="FIE-2018-2019-IIP-0012"/>
    <s v="2019-000299"/>
    <x v="2"/>
    <d v="2019-02-21T00:00:00"/>
    <s v=""/>
    <s v="INCENT ESP"/>
    <s v="Contract"/>
    <s v="S0483"/>
    <s v="SANCHEZ-MIGUEL, MARIA M."/>
    <s v="S0483 - SANCHEZ-MIGUEL, MARIA M."/>
    <s v="ARECIBO"/>
    <s v="Programa Artesanía"/>
    <x v="4"/>
    <n v="1260"/>
    <n v="0"/>
    <n v="1260"/>
    <n v="0"/>
    <n v="0"/>
    <s v=""/>
    <s v=""/>
    <m/>
  </r>
  <r>
    <s v="FIE-2016-2017-IIP-0004"/>
    <s v="2017-000188"/>
    <x v="6"/>
    <d v="2016-10-05T00:00:00"/>
    <s v=""/>
    <s v="INCENT ESP"/>
    <s v="Contract"/>
    <s v="S0433"/>
    <s v="SANTANA LAMBOY, HARRY L. "/>
    <s v="S0433 - SANTANA LAMBOY, HARRY L. "/>
    <s v="SAN JUAN"/>
    <s v="Programa Artesanía"/>
    <x v="4"/>
    <n v="950"/>
    <n v="306.25"/>
    <n v="643.75"/>
    <n v="0"/>
    <n v="0"/>
    <s v=""/>
    <s v=""/>
    <m/>
  </r>
  <r>
    <s v="FIE-2016-2017-IIP-0004"/>
    <s v="2017-000149"/>
    <x v="6"/>
    <d v="2016-08-30T00:00:00"/>
    <s v=""/>
    <s v="INCENT ESP"/>
    <s v="Contract"/>
    <s v="S0436"/>
    <s v="SANTIAGO CUEVAS, JOSEFA P."/>
    <s v="S0436 - SANTIAGO CUEVAS, JOSEFA P."/>
    <s v="SAN JUAN"/>
    <s v="Programa Artesanía"/>
    <x v="4"/>
    <n v="900"/>
    <n v="0"/>
    <n v="900"/>
    <n v="0"/>
    <n v="0"/>
    <s v=""/>
    <s v=""/>
    <m/>
  </r>
  <r>
    <s v="FE-2018-2019-0003"/>
    <s v="2020-000108"/>
    <x v="48"/>
    <d v="2019-08-20T00:00:00"/>
    <s v="19/2/2025"/>
    <s v="INCENT FEDE"/>
    <s v="Contract"/>
    <s v="S3760"/>
    <s v="SARTORIUS STEDIM FILTERS, INC."/>
    <s v="S3760 - SARTORIUS STEDIM FILTERS, INC."/>
    <s v="YAUCO"/>
    <s v="Dispositivos Médicos"/>
    <x v="5"/>
    <n v="1650000"/>
    <n v="0"/>
    <n v="0"/>
    <n v="1650000"/>
    <n v="300"/>
    <m/>
    <n v="10000000"/>
    <m/>
  </r>
  <r>
    <s v="FE-2018-2019-0004"/>
    <s v="2020-000134"/>
    <x v="48"/>
    <d v="2019-09-09T00:00:00"/>
    <d v="2024-08-09T00:00:00"/>
    <s v="INCENT FEDE"/>
    <s v="Contract"/>
    <s v="S3760"/>
    <s v="SARTORIUS STEDIM FILTERS, INC."/>
    <s v="S3760 - SARTORIUS STEDIM FILTERS, INC."/>
    <s v="YAUCO"/>
    <s v="Medical Device"/>
    <x v="2"/>
    <n v="7100000"/>
    <n v="0"/>
    <n v="0"/>
    <n v="7100000"/>
    <n v="0"/>
    <n v="130000000"/>
    <m/>
    <m/>
  </r>
  <r>
    <s v="FIE-2017-2018-IIP-0099"/>
    <s v="2018-000243"/>
    <x v="30"/>
    <d v="2017-12-29T00:00:00"/>
    <s v=""/>
    <s v="INCENT ESP"/>
    <s v="Contract"/>
    <s v="S0425"/>
    <s v="SAVOR CRAFTERS LLC"/>
    <s v="S0425 - SAVOR CRAFTERS LLC"/>
    <s v="SAN JUAN"/>
    <s v="Incentivo de Emergencias Huracanes - Generadores"/>
    <x v="3"/>
    <n v="25000"/>
    <n v="25000"/>
    <n v="0"/>
    <n v="0"/>
    <n v="0"/>
    <s v=""/>
    <s v=""/>
    <m/>
  </r>
  <r>
    <s v="FIE-2018-2019-IIP-0030"/>
    <s v="2019-000236-A"/>
    <x v="20"/>
    <d v="2019-03-06T00:00:00"/>
    <s v=""/>
    <s v="INCENT ESP"/>
    <s v="Contract"/>
    <s v="S0479"/>
    <s v="SECURE BATHTUB, INC."/>
    <s v="S0479 - SECURE BATHTUB, INC."/>
    <s v="BAYAMON"/>
    <s v="Tecnología"/>
    <x v="7"/>
    <n v="100000"/>
    <n v="0"/>
    <n v="97324.2"/>
    <n v="2675.8000000000029"/>
    <n v="0"/>
    <s v=""/>
    <s v=""/>
    <m/>
  </r>
  <r>
    <s v="FE-2017-2018-0016"/>
    <s v="En Proceso"/>
    <x v="64"/>
    <s v="En Proceso"/>
    <s v=""/>
    <s v="INCENT FEDE"/>
    <s v="Assignment"/>
    <m/>
    <s v="SELLBYTEL GROUP PUERTO RICO LLC"/>
    <s v="SELLBYTEL GROUP PUERTO RICO LLC"/>
    <s v="GUAYNABO"/>
    <s v="Call center"/>
    <x v="5"/>
    <n v="1200000"/>
    <n v="0"/>
    <n v="0"/>
    <n v="1200000"/>
    <n v="600"/>
    <n v="2361402"/>
    <n v="11040000"/>
    <m/>
  </r>
  <r>
    <s v="FIE-2016-2017-IIP-0019"/>
    <s v="2017-000316"/>
    <x v="178"/>
    <d v="2017-01-19T00:00:00"/>
    <s v=""/>
    <s v="INCENT ESP"/>
    <s v="Contract"/>
    <s v="S0421"/>
    <s v="SENORIAL BREWING CORP."/>
    <s v="S0421 - SENORIAL BREWING CORP."/>
    <s v="PONCE"/>
    <s v="Cervezas"/>
    <x v="5"/>
    <n v="4500"/>
    <n v="0"/>
    <n v="0"/>
    <n v="4500"/>
    <n v="5"/>
    <s v=""/>
    <s v=""/>
    <m/>
  </r>
  <r>
    <s v="FIE-2017-2018-IIP-0008"/>
    <s v="2019-000099"/>
    <x v="24"/>
    <d v="2018-09-04T00:00:00"/>
    <s v=""/>
    <s v="INCENT ESP"/>
    <s v="Contract"/>
    <s v="S0146"/>
    <s v="SERVIMETAL, INC"/>
    <s v="S0146 - SERVIMETAL, INC"/>
    <s v="SAN JUAN"/>
    <s v="Manufactura"/>
    <x v="0"/>
    <n v="50000"/>
    <n v="0"/>
    <n v="17783.330000000002"/>
    <n v="32216.67"/>
    <n v="0"/>
    <s v=""/>
    <s v=""/>
    <m/>
  </r>
  <r>
    <s v="FIE-2017-2018-IIP-0021"/>
    <s v="2018-000170"/>
    <x v="60"/>
    <d v="2017-12-15T00:00:00"/>
    <s v=""/>
    <s v="INCENT ESP"/>
    <s v="Contract"/>
    <s v="S0458"/>
    <s v="SETAS DE PUERTO RICO"/>
    <s v="S0458 - SETAS DE PUERTO RICO"/>
    <s v="DORADO"/>
    <s v="Incentivo de Emergencias Huracanes - Generadores"/>
    <x v="3"/>
    <n v="35000"/>
    <n v="25000"/>
    <n v="10000"/>
    <n v="0"/>
    <n v="0"/>
    <s v=""/>
    <s v=""/>
    <m/>
  </r>
  <r>
    <s v="FE-2016-2017-0010"/>
    <s v="2018-000057"/>
    <x v="53"/>
    <d v="2017-08-08T00:00:00"/>
    <d v="2022-07-08T00:00:00"/>
    <s v="INCENT FEDE"/>
    <s v="Contract"/>
    <s v="S0047"/>
    <s v="SIGN SOURCE CORPORATION"/>
    <s v="S0047 - SIGN SOURCE CORPORATION"/>
    <s v="JUNCOS"/>
    <s v="Impresos  "/>
    <x v="1"/>
    <n v="302500"/>
    <n v="204523"/>
    <n v="97977"/>
    <n v="0"/>
    <n v="0"/>
    <s v=""/>
    <s v=""/>
    <m/>
  </r>
  <r>
    <s v="FIE-2018-2019-IIP-0030"/>
    <s v="2019-000476"/>
    <x v="20"/>
    <d v="2019-06-03T00:00:00"/>
    <s v=""/>
    <s v="INCENT ESP"/>
    <s v="Contract"/>
    <s v="S0451"/>
    <s v="SIL TECHNOLOGIES LLC"/>
    <s v="S0451 - SIL TECHNOLOGIES LLC"/>
    <s v="RINCON"/>
    <s v="Tecnología"/>
    <x v="7"/>
    <n v="100000"/>
    <n v="0"/>
    <n v="100000"/>
    <n v="0"/>
    <n v="0"/>
    <s v=""/>
    <s v=""/>
    <m/>
  </r>
  <r>
    <s v="FIE-2019-2020-IIP-0052"/>
    <s v="2020-000354"/>
    <x v="179"/>
    <d v="2020-02-13T00:00:00"/>
    <s v=""/>
    <s v="INCENT ESP"/>
    <s v="Contract"/>
    <s v="S0503"/>
    <s v="SJT PRECISION METAL, INC."/>
    <s v="S0503 - SJT PRECISION METAL, INC."/>
    <s v="SAN JUAN"/>
    <s v="Manufactura de piezas en metal a precisión"/>
    <x v="5"/>
    <n v="86000"/>
    <n v="0"/>
    <n v="10000"/>
    <n v="76000"/>
    <n v="43"/>
    <n v="50000"/>
    <n v="546248"/>
    <m/>
  </r>
  <r>
    <s v="FIE-2017-2018-IIP-0005"/>
    <s v="2018-000359"/>
    <x v="24"/>
    <d v="2018-04-24T00:00:00"/>
    <s v=""/>
    <s v="INCENT ESP"/>
    <s v="Contract"/>
    <s v="S0471"/>
    <s v="SMITH TORRES, JAVIER "/>
    <s v="S0471 - SMITH TORRES, JAVIER "/>
    <s v="SAN JUAN"/>
    <s v="Programa Artesanía"/>
    <x v="4"/>
    <n v="1000"/>
    <n v="70"/>
    <n v="930"/>
    <n v="0"/>
    <n v="0"/>
    <s v=""/>
    <s v=""/>
    <m/>
  </r>
  <r>
    <s v="FE-2019-2020-0021"/>
    <s v="2020-000346"/>
    <x v="4"/>
    <d v="2020-02-11T00:00:00"/>
    <d v="2023-10-02T00:00:00"/>
    <s v="INCENT FEDE"/>
    <s v="Contract"/>
    <s v="S0351"/>
    <s v="SNC TECHNICAL SERVICES, LLC"/>
    <s v="S0351 - SNC TECHNICAL SERVICES, LLC"/>
    <s v="CAMUY"/>
    <s v="Uniformes Militares"/>
    <x v="5"/>
    <n v="532800"/>
    <n v="0"/>
    <n v="0"/>
    <n v="532800"/>
    <n v="50"/>
    <m/>
    <n v="559000"/>
    <m/>
  </r>
  <r>
    <s v="FE-2019-2020-0022"/>
    <s v="2020-000347"/>
    <x v="4"/>
    <d v="2020-02-11T00:00:00"/>
    <d v="2023-10-02T00:00:00"/>
    <s v="INCENT FEDE"/>
    <s v="Contract"/>
    <s v="S0351"/>
    <s v="SNC TECHNICAL SERVICES, LLC"/>
    <s v="S0351 - SNC TECHNICAL SERVICES, LLC"/>
    <s v="CAMUY"/>
    <s v="Uniformes Militares"/>
    <x v="5"/>
    <n v="60000"/>
    <n v="0"/>
    <n v="0"/>
    <n v="60000"/>
    <n v="50"/>
    <m/>
    <n v="559000"/>
    <m/>
  </r>
  <r>
    <s v="FE-2019-2020-0020"/>
    <s v="2020-000348"/>
    <x v="4"/>
    <d v="2020-02-11T00:00:00"/>
    <d v="2023-10-02T00:00:00"/>
    <s v="INCENT FEDE"/>
    <s v="Contract"/>
    <s v="S0351"/>
    <s v="SNC TECHNICAL SERVICES, LLC"/>
    <s v="S0351 - SNC TECHNICAL SERVICES, LLC"/>
    <s v="CAMUY"/>
    <s v="Uniformes Militares"/>
    <x v="5"/>
    <n v="1071600"/>
    <n v="0"/>
    <n v="0"/>
    <n v="1071600"/>
    <n v="400"/>
    <m/>
    <n v="9841755"/>
    <m/>
  </r>
  <r>
    <s v="FE-2019-2020-0024"/>
    <s v="2020-000345"/>
    <x v="4"/>
    <d v="2020-02-11T00:00:00"/>
    <d v="2025-10-02T00:00:00"/>
    <s v="INCENT FEDE"/>
    <s v="Contract"/>
    <s v="S0351"/>
    <s v="SNC TECHNICAL SERVICES, LLC"/>
    <s v="S0351 - SNC TECHNICAL SERVICES, LLC"/>
    <s v="CAMUY"/>
    <s v="Uniformes Militares"/>
    <x v="1"/>
    <n v="1440000"/>
    <n v="0"/>
    <n v="0"/>
    <n v="1440000"/>
    <n v="0"/>
    <n v="1571108"/>
    <m/>
    <m/>
  </r>
  <r>
    <s v="FE-2019-2020-0023"/>
    <s v="2020-000344"/>
    <x v="4"/>
    <d v="2020-02-11T00:00:00"/>
    <d v="2025-10-02T00:00:00"/>
    <s v="INCENT FEDE"/>
    <s v="Contract"/>
    <s v="S0351"/>
    <s v="SNC TECHNICAL SERVICES, LLC"/>
    <s v="S0351 - SNC TECHNICAL SERVICES, LLC"/>
    <s v="CAMUY"/>
    <s v="Uniformes Militares"/>
    <x v="2"/>
    <n v="1135553.92"/>
    <n v="0"/>
    <n v="510999.26"/>
    <n v="624554.65999999992"/>
    <n v="0"/>
    <n v="350000"/>
    <m/>
    <m/>
  </r>
  <r>
    <s v="FIE-2016-2017-IIP-0053"/>
    <s v="2018-000380"/>
    <x v="180"/>
    <d v="2018-05-29T00:00:00"/>
    <s v=""/>
    <s v="INCENT ESP"/>
    <s v="Contract"/>
    <s v="S6500"/>
    <s v="SOFTEX PRODUCTS, INC."/>
    <s v="S6500 - SOFTEX PRODUCTS, INC."/>
    <s v="SAN GERMAN"/>
    <s v="Manufactura"/>
    <x v="1"/>
    <n v="120000"/>
    <n v="0"/>
    <n v="108000"/>
    <n v="12000"/>
    <n v="0"/>
    <s v=""/>
    <s v=""/>
    <m/>
  </r>
  <r>
    <s v="FIE-2017-2018-IIP-0064"/>
    <s v="2018-000214"/>
    <x v="155"/>
    <d v="2017-12-28T00:00:00"/>
    <s v=""/>
    <s v="INCENT ESP"/>
    <s v="Contract"/>
    <s v="S0459"/>
    <s v="SORULLITOS MAMA TONA"/>
    <s v="S0459 - SORULLITOS MAMA TONA"/>
    <s v="SAN JUAN"/>
    <s v="Incentivo de Emergencias Huracanes - Generadores"/>
    <x v="3"/>
    <n v="2000"/>
    <n v="0"/>
    <n v="2000"/>
    <n v="0"/>
    <n v="0"/>
    <s v=""/>
    <s v=""/>
    <m/>
  </r>
  <r>
    <s v="FIE-2017-2018-IIP-0005"/>
    <s v="2018-000306"/>
    <x v="24"/>
    <d v="2018-03-08T00:00:00"/>
    <s v=""/>
    <s v="INCENT ESP"/>
    <s v="Contract"/>
    <s v="S0391"/>
    <s v="SOTO HERNANDEZ, EDUARDO"/>
    <s v="S0391 - SOTO HERNANDEZ, EDUARDO"/>
    <s v="SAN JUAN"/>
    <s v="Programa Artesanía"/>
    <x v="4"/>
    <n v="1000"/>
    <n v="17.8"/>
    <n v="982.2"/>
    <n v="0"/>
    <n v="0"/>
    <s v=""/>
    <s v=""/>
    <m/>
  </r>
  <r>
    <s v="FIE-2017-2018-IIP-0004"/>
    <s v="2018-000319"/>
    <x v="24"/>
    <d v="2018-03-08T00:00:00"/>
    <s v=""/>
    <s v="INCENT ESP"/>
    <s v="Contract"/>
    <s v="S0391"/>
    <s v="SOTO HERNANDEZ, EDUARDO"/>
    <s v="S0391 - SOTO HERNANDEZ, EDUARDO"/>
    <s v="SAN JUAN"/>
    <s v="Programa Artesanía"/>
    <x v="4"/>
    <n v="1080"/>
    <n v="90"/>
    <n v="990"/>
    <n v="0"/>
    <n v="0"/>
    <s v=""/>
    <s v=""/>
    <m/>
  </r>
  <r>
    <s v="FIE-2017-2018-IIP-0085"/>
    <s v="2018-000216"/>
    <x v="94"/>
    <d v="2017-12-28T00:00:00"/>
    <s v=""/>
    <s v="INCENT ESP"/>
    <s v="Contract"/>
    <s v="S0460"/>
    <s v="SOTO MATOS, CHRISTIAN J."/>
    <s v="S0460 - SOTO MATOS, CHRISTIAN J."/>
    <s v="VEGA BAJA"/>
    <s v="Programa Artesanía"/>
    <x v="4"/>
    <n v="899.99"/>
    <n v="0"/>
    <n v="899.99"/>
    <n v="0"/>
    <n v="0"/>
    <s v=""/>
    <s v=""/>
    <m/>
  </r>
  <r>
    <s v="FIE-2017-2018-IIP-0004"/>
    <s v="2018-000352"/>
    <x v="24"/>
    <d v="2018-04-13T00:00:00"/>
    <s v=""/>
    <s v="INCENT ESP"/>
    <s v="Contract"/>
    <s v="S0470"/>
    <s v="SOTO RAMOS, LOURDES"/>
    <s v="S0470 - SOTO RAMOS, LOURDES"/>
    <s v="SAN JUAN"/>
    <s v="Programa Artesanía"/>
    <x v="4"/>
    <n v="150"/>
    <n v="0"/>
    <n v="150"/>
    <n v="0"/>
    <n v="0"/>
    <s v=""/>
    <s v=""/>
    <m/>
  </r>
  <r>
    <s v="FIE-2018-2019-IIP-0086"/>
    <s v="2020-000033"/>
    <x v="131"/>
    <d v="2019-07-17T00:00:00"/>
    <s v=""/>
    <s v="INCENT ESP"/>
    <s v="Contract"/>
    <s v="S0491"/>
    <s v="SOUTH CARIBBEAN FINANCIAL SERVICES CORP"/>
    <s v="S0491 - SOUTH CARIBBEAN FINANCIAL SERVICES CORP"/>
    <s v="PONCE"/>
    <s v="Tecnología"/>
    <x v="5"/>
    <n v="5000"/>
    <n v="0"/>
    <n v="0"/>
    <n v="5000"/>
    <n v="10"/>
    <n v="55000"/>
    <n v="285000"/>
    <m/>
  </r>
  <r>
    <s v="FIE-2019-2020-IIP-0014"/>
    <s v="En Proceso"/>
    <x v="99"/>
    <s v="En Proceso"/>
    <s v=""/>
    <s v="INCENT ESP"/>
    <s v="Assignment"/>
    <m/>
    <s v="SPVC LUXURY KITCHENS, LLC"/>
    <s v="SPVC LUXURY KITCHENS, LLC"/>
    <s v="PONCE"/>
    <s v="Manufactura de gabinetes"/>
    <x v="5"/>
    <n v="10000"/>
    <n v="0"/>
    <n v="0"/>
    <n v="10000"/>
    <n v="20"/>
    <m/>
    <n v="212240"/>
    <m/>
  </r>
  <r>
    <s v="FIE-2019-2020-IIP-0015"/>
    <s v="En Proceso"/>
    <x v="99"/>
    <s v="En Proceso"/>
    <s v=""/>
    <s v="INCENT ESP"/>
    <s v="Assignment"/>
    <m/>
    <s v="SPVC LUXURY KITCHENS, LLC"/>
    <s v="SPVC LUXURY KITCHENS, LLC"/>
    <s v="PONCE"/>
    <s v="Manufactura de gabinetes"/>
    <x v="2"/>
    <n v="50000"/>
    <n v="0"/>
    <n v="0"/>
    <n v="50000"/>
    <n v="0"/>
    <n v="150000"/>
    <m/>
    <m/>
  </r>
  <r>
    <s v="FE-2017-2018-0036"/>
    <s v="2019-000086"/>
    <x v="117"/>
    <d v="2018-08-24T00:00:00"/>
    <s v="23/8/2021"/>
    <s v="INCENT FEDE"/>
    <s v="Contract"/>
    <s v="S6844"/>
    <s v="SQUARE KNOT CORP."/>
    <s v="S6844 - SQUARE KNOT CORP."/>
    <s v="BAYAMON"/>
    <s v="Muebles"/>
    <x v="2"/>
    <n v="68147.5"/>
    <n v="0"/>
    <n v="41847.5"/>
    <n v="26300"/>
    <n v="0"/>
    <s v=""/>
    <s v=""/>
    <m/>
  </r>
  <r>
    <s v="FIE60-2020-2021-0029"/>
    <s v="En Proceso"/>
    <x v="39"/>
    <s v="En Proceso"/>
    <s v=""/>
    <s v="INCENT LEY 60"/>
    <s v="Assignment"/>
    <s v="S8700"/>
    <s v="STERI-TECH, INC."/>
    <s v="S8700 - STERI-TECH, INC."/>
    <s v="SALINAS"/>
    <s v="Storage services of medical devices &amp; sterilization services"/>
    <x v="8"/>
    <n v="209000"/>
    <n v="0"/>
    <n v="0"/>
    <n v="209000"/>
    <n v="30"/>
    <m/>
    <n v="926524"/>
    <n v="3.93"/>
  </r>
  <r>
    <s v="FIE60-2020-2021-0028"/>
    <s v="En Proceso"/>
    <x v="39"/>
    <s v="En Proceso"/>
    <s v=""/>
    <s v="INCENT LEY 60"/>
    <s v="Assignment"/>
    <s v="S8700"/>
    <s v="STERI-TECH, INC."/>
    <s v="S8700 - STERI-TECH, INC."/>
    <s v="SALINAS"/>
    <s v="Storage services of medical devices &amp; sterilization services"/>
    <x v="9"/>
    <n v="2300000"/>
    <n v="0"/>
    <n v="0"/>
    <n v="2300000"/>
    <n v="0"/>
    <n v="6843210"/>
    <m/>
    <n v="3.93"/>
  </r>
  <r>
    <s v="FE-2017-2018-0028"/>
    <s v="2019-000226"/>
    <x v="117"/>
    <d v="2018-12-17T00:00:00"/>
    <s v="16/6/2024"/>
    <s v="INCENT FEDE"/>
    <s v="Contract"/>
    <s v="S0850"/>
    <s v="STRYKER PR, INC."/>
    <s v="S0850 - STRYKER PR, INC."/>
    <s v="ARROYO"/>
    <s v="Manufacture of surgical products"/>
    <x v="5"/>
    <n v="114000"/>
    <n v="0"/>
    <n v="0"/>
    <n v="114000"/>
    <n v="38"/>
    <m/>
    <n v="1039000"/>
    <m/>
  </r>
  <r>
    <s v="FE-2017-2018-0029"/>
    <s v="2019-000225-C"/>
    <x v="117"/>
    <d v="2020-08-13T00:00:00"/>
    <s v="31/12/2021"/>
    <s v="INCENT FEDE"/>
    <s v="Contract"/>
    <s v="S0850"/>
    <s v="STRYKER PR, INC."/>
    <s v="S0850 - STRYKER PR, INC."/>
    <s v="ARROYO"/>
    <s v="Manufacture of surgical products"/>
    <x v="1"/>
    <n v="5500000"/>
    <n v="0"/>
    <n v="3618743.26"/>
    <n v="1881256.7400000002"/>
    <n v="0"/>
    <n v="34960000"/>
    <m/>
    <m/>
  </r>
  <r>
    <s v="FE-2016-2017-0042"/>
    <s v="2018-000269"/>
    <x v="116"/>
    <d v="2018-01-29T00:00:00"/>
    <s v="28/1/21"/>
    <s v="INCENT FEDE"/>
    <s v="Contract"/>
    <s v="S7725"/>
    <s v="SUIZA DAIRY CORPORATION"/>
    <s v="S7725 - SUIZA DAIRY CORPORATION"/>
    <s v="AGUADILLA"/>
    <s v="Alimentos"/>
    <x v="5"/>
    <n v="100000"/>
    <n v="0"/>
    <n v="0"/>
    <n v="100000"/>
    <n v="40"/>
    <m/>
    <n v="2733333"/>
    <m/>
  </r>
  <r>
    <s v="FE-2016-2017-0043"/>
    <s v="2018-000270"/>
    <x v="116"/>
    <d v="2018-01-29T00:00:00"/>
    <s v="28/1/21"/>
    <s v="INCENT FEDE"/>
    <s v="Contract"/>
    <s v="S7725"/>
    <s v="SUIZA DAIRY CORPORATION"/>
    <s v="S7725 - SUIZA DAIRY CORPORATION"/>
    <s v="AGUADILLA"/>
    <s v="Alimentos"/>
    <x v="5"/>
    <n v="50000"/>
    <n v="0"/>
    <n v="0"/>
    <n v="50000"/>
    <n v="20"/>
    <m/>
    <n v="1366666"/>
    <m/>
  </r>
  <r>
    <s v="FE-2016-2017-0037"/>
    <s v="2018-000268-A"/>
    <x v="116"/>
    <d v="2018-10-03T00:00:00"/>
    <s v="28/1/2021"/>
    <s v="INCENT FEDE"/>
    <s v="Contract"/>
    <s v="S7725"/>
    <s v="SUIZA DAIRY CORPORATION"/>
    <s v="S7725 - SUIZA DAIRY CORPORATION"/>
    <s v="AGUADILLA"/>
    <s v="Alimentos"/>
    <x v="1"/>
    <n v="1000000"/>
    <n v="0"/>
    <n v="630246.65"/>
    <n v="369753.35"/>
    <n v="0"/>
    <n v="23000000"/>
    <m/>
    <m/>
  </r>
  <r>
    <s v="FE-2016-2017-0041"/>
    <s v="2018-000266"/>
    <x v="116"/>
    <d v="2018-01-29T00:00:00"/>
    <s v="28/1/21"/>
    <s v="INCENT FEDE"/>
    <s v="Contract"/>
    <s v="S0465"/>
    <s v="SUIZA FRUIT CORPORATION"/>
    <s v="S0465 - SUIZA FRUIT CORPORATION"/>
    <s v="AGUADILLA"/>
    <s v="Alimentos"/>
    <x v="5"/>
    <n v="30000"/>
    <n v="0"/>
    <n v="0"/>
    <n v="30000"/>
    <n v="12"/>
    <n v="5000000"/>
    <m/>
    <m/>
  </r>
  <r>
    <s v="FE-2016-2017-0044"/>
    <s v="2018-000267"/>
    <x v="116"/>
    <d v="2018-01-29T00:00:00"/>
    <s v="28/1/21"/>
    <s v="INCENT FEDE"/>
    <s v="Contract"/>
    <s v="S0465"/>
    <s v="SUIZA FRUIT CORPORATION"/>
    <s v="S0465 - SUIZA FRUIT CORPORATION"/>
    <s v="AGUADILLA"/>
    <s v="Alimentos"/>
    <x v="5"/>
    <n v="120000"/>
    <n v="0"/>
    <n v="0"/>
    <n v="120000"/>
    <n v="48"/>
    <m/>
    <n v="4069000"/>
    <m/>
  </r>
  <r>
    <s v="FE-2018-2019-0014"/>
    <s v="2019-000154"/>
    <x v="2"/>
    <d v="2018-10-11T00:00:00"/>
    <d v="2023-10-10T00:00:00"/>
    <s v="INCENT FEDE"/>
    <s v="Contract"/>
    <s v="S7755"/>
    <s v="SUN COLORS DIGITAL GRAPHICS, INC."/>
    <s v="S7755 - SUN COLORS DIGITAL GRAPHICS, INC."/>
    <s v="BAYAMON"/>
    <s v="Impresos gráficos digitales y productos relacionados"/>
    <x v="5"/>
    <n v="150000"/>
    <n v="0"/>
    <n v="136000"/>
    <n v="14000"/>
    <n v="75"/>
    <m/>
    <n v="1885000"/>
    <m/>
  </r>
  <r>
    <s v="FE-2018-2019-0015"/>
    <s v="2019-000155"/>
    <x v="2"/>
    <d v="2018-10-11T00:00:00"/>
    <d v="2023-10-10T00:00:00"/>
    <s v="INCENT FEDE"/>
    <s v="Contract"/>
    <s v="S7755"/>
    <s v="SUN COLORS DIGITAL GRAPHICS, INC."/>
    <s v="S7755 - SUN COLORS DIGITAL GRAPHICS, INC."/>
    <s v="BAYAMON"/>
    <s v="Impresos gráficos digitales y productos relacionados"/>
    <x v="2"/>
    <n v="200000"/>
    <n v="0"/>
    <n v="200000"/>
    <n v="0"/>
    <n v="0"/>
    <n v="800000"/>
    <m/>
    <m/>
  </r>
  <r>
    <s v="FIE-2018-2019-IIP-0091"/>
    <s v="En Proceso"/>
    <x v="149"/>
    <s v="En Proceso"/>
    <s v=""/>
    <s v="INCENT ESP"/>
    <s v="Assignment"/>
    <m/>
    <s v="SYNERLUTION, INC."/>
    <s v="SYNERLUTION, INC."/>
    <s v="ISABELA"/>
    <s v="Exportación de servicios de ingeniería en el área de automatización"/>
    <x v="5"/>
    <n v="162000"/>
    <n v="0"/>
    <n v="0"/>
    <n v="162000"/>
    <n v="54"/>
    <n v="97200"/>
    <n v="3242600"/>
    <m/>
  </r>
  <r>
    <s v="FIE-2017-2018-IIP-0005"/>
    <s v="2018-000307"/>
    <x v="24"/>
    <d v="2018-03-12T00:00:00"/>
    <s v=""/>
    <s v="INCENT ESP"/>
    <s v="Contract"/>
    <s v="T0228"/>
    <s v="TABOAS MARRERO, JOSE A. "/>
    <s v="T0228 - TABOAS MARRERO, JOSE A. "/>
    <s v="SAN JUAN"/>
    <s v="Programa Artesanía"/>
    <x v="4"/>
    <n v="1000"/>
    <n v="0"/>
    <n v="1000"/>
    <n v="0"/>
    <n v="0"/>
    <s v=""/>
    <s v=""/>
    <m/>
  </r>
  <r>
    <s v="FIE60-2020-2021-0092"/>
    <s v="En Proceso"/>
    <x v="31"/>
    <s v="En Proceso"/>
    <s v=""/>
    <s v="INCENT LEY 60"/>
    <s v="Assignment"/>
    <m/>
    <s v="TAS UNITED PUERTO RICO LLC"/>
    <s v="TAS UNITED PUERTO RICO LLC"/>
    <s v="GUAYNABO"/>
    <s v="Medical management organization exporting services"/>
    <x v="8"/>
    <n v="200000"/>
    <n v="0"/>
    <n v="0"/>
    <n v="200000"/>
    <n v="125"/>
    <s v=""/>
    <n v="4160000"/>
    <n v="0.69"/>
  </r>
  <r>
    <s v="FIE60-2020-2021-0093"/>
    <s v="En Proceso"/>
    <x v="31"/>
    <s v="En Proceso"/>
    <s v=""/>
    <s v="INCENT LEY 60"/>
    <s v="Assignment"/>
    <m/>
    <s v="TAS UNITED PUERTO RICO LLC"/>
    <s v="TAS UNITED PUERTO RICO LLC"/>
    <s v="GUAYNABO"/>
    <s v="Medical management organization exporting services"/>
    <x v="9"/>
    <n v="200000"/>
    <n v="0"/>
    <n v="0"/>
    <n v="200000"/>
    <n v="0"/>
    <n v="350000"/>
    <s v=""/>
    <n v="0.69"/>
  </r>
  <r>
    <s v="FIE-2018-2019-IIP-0010"/>
    <s v="2019-000165"/>
    <x v="133"/>
    <d v="2018-10-17T00:00:00"/>
    <s v=""/>
    <s v="INCENT ESP"/>
    <s v="Contract"/>
    <s v="T0246"/>
    <s v="TAYLOR INDUSTRIAL CORP."/>
    <s v="T0246 - TAYLOR INDUSTRIAL CORP."/>
    <s v="CATAÑO"/>
    <s v="Manufactura de cilindros hidraulicos para industrias"/>
    <x v="5"/>
    <n v="8000"/>
    <n v="0"/>
    <n v="0"/>
    <n v="8000"/>
    <n v="10"/>
    <n v="60000"/>
    <n v="156000"/>
    <m/>
  </r>
  <r>
    <s v="FE-2019-2020-0093"/>
    <s v="En Proceso"/>
    <x v="181"/>
    <s v="En Proceso"/>
    <s v=""/>
    <s v="INCENT FEDE"/>
    <s v="Assignment"/>
    <m/>
    <s v="TEAM AND TECH, LLC"/>
    <s v="TEAM AND TECH, LLC"/>
    <s v="SANTA ISABEL"/>
    <s v="U.S. Veterans Administration’s claims and benefits"/>
    <x v="5"/>
    <n v="696000"/>
    <n v="0"/>
    <n v="0"/>
    <n v="696000"/>
    <n v="464"/>
    <m/>
    <n v="2257597"/>
    <m/>
  </r>
  <r>
    <s v="FE-2019-2020-0094"/>
    <s v="En Proceso"/>
    <x v="181"/>
    <s v="En Proceso"/>
    <s v=""/>
    <s v="INCENT FEDE"/>
    <s v="Assignment"/>
    <m/>
    <s v="TEAM AND TECH, LLC"/>
    <s v="TEAM AND TECH, LLC"/>
    <s v="SANTA ISABEL"/>
    <s v="U.S. Veterans Administration’s claims and benefits"/>
    <x v="2"/>
    <n v="1500000"/>
    <n v="0"/>
    <n v="0"/>
    <n v="1500000"/>
    <n v="0"/>
    <n v="2979000"/>
    <m/>
    <m/>
  </r>
  <r>
    <s v="FE-2016-2017-0033"/>
    <s v="2017-000410-A"/>
    <x v="116"/>
    <d v="2017-06-08T00:00:00"/>
    <s v=""/>
    <s v="INCENT FEDE"/>
    <s v="Contract"/>
    <s v="T0213"/>
    <s v="TECHNICAL CONSULTING GROUP "/>
    <s v="T0213 - TECHNICAL CONSULTING GROUP "/>
    <s v="SAN JUAN"/>
    <s v="PROTECH"/>
    <x v="16"/>
    <n v="19500"/>
    <m/>
    <n v="19500"/>
    <n v="0"/>
    <n v="0"/>
    <s v=""/>
    <s v=""/>
    <m/>
  </r>
  <r>
    <s v="FE-2018-2019-0008"/>
    <s v="2019-000218"/>
    <x v="2"/>
    <d v="2018-12-13T00:00:00"/>
    <s v="30/6/2019"/>
    <s v="INCENT FEDE"/>
    <s v="Contract"/>
    <s v="T0213"/>
    <s v="TECHNICAL CONSULTING GROUP "/>
    <s v="T0213 - TECHNICAL CONSULTING GROUP "/>
    <s v="SAN JUAN"/>
    <s v="PROTECH"/>
    <x v="16"/>
    <n v="35000"/>
    <n v="147.38"/>
    <n v="9825"/>
    <n v="25027.620000000003"/>
    <n v="0"/>
    <s v=""/>
    <s v=""/>
    <m/>
  </r>
  <r>
    <s v="FIE-2016-2017-IIP-0021"/>
    <s v="2017-000197"/>
    <x v="182"/>
    <d v="2016-10-20T00:00:00"/>
    <s v=""/>
    <s v="INCENT ESP"/>
    <s v="Contract"/>
    <s v="T2000"/>
    <s v="TECHNO PLASTICS INDUSTRIES, INC"/>
    <s v="T2000 - TECHNO PLASTICS INDUSTRIES, INC"/>
    <s v="SAN JUAN"/>
    <s v="PIEZAS PLÁSTICAS DE ALTA PRECISIÓN"/>
    <x v="5"/>
    <n v="130520"/>
    <n v="0"/>
    <n v="130520"/>
    <n v="0"/>
    <n v="0"/>
    <s v=""/>
    <s v=""/>
    <m/>
  </r>
  <r>
    <s v="FIE-2017-2018-IIP-0002"/>
    <s v="2018-000330"/>
    <x v="183"/>
    <d v="2018-03-26T00:00:00"/>
    <s v=""/>
    <s v="INCENT ESP"/>
    <s v="Contract"/>
    <s v="T0232"/>
    <s v="TEKSOL INTEGRATION GROUP, INC. "/>
    <s v="T0232 - TEKSOL INTEGRATION GROUP, INC. "/>
    <s v="SAN JUAN"/>
    <s v="Servicios "/>
    <x v="5"/>
    <n v="19800"/>
    <n v="0"/>
    <n v="0"/>
    <n v="19800"/>
    <n v="22"/>
    <n v="59974"/>
    <n v="513385"/>
    <m/>
  </r>
  <r>
    <s v="FIE-2017-2018-IIP-0013"/>
    <s v="2018-000136"/>
    <x v="160"/>
    <d v="2017-11-15T00:00:00"/>
    <s v=""/>
    <s v="INCENT ESP"/>
    <s v="Contract"/>
    <s v="T0224"/>
    <s v="TELECONTACTO-TELECONTACT EXPORT, INC."/>
    <s v="T0224 - TELECONTACTO-TELECONTACT EXPORT, INC."/>
    <s v="SAN JUAN"/>
    <s v="Incentivo de Emergencias Huracanes - Generadores"/>
    <x v="3"/>
    <n v="25000"/>
    <n v="1000"/>
    <n v="24000"/>
    <n v="0"/>
    <n v="0"/>
    <s v=""/>
    <s v=""/>
    <m/>
  </r>
  <r>
    <s v="FE-2019-2020-0095"/>
    <s v="En Proceso"/>
    <x v="181"/>
    <s v="En Proceso"/>
    <s v=""/>
    <s v="INCENT FEDE"/>
    <s v="Assignment"/>
    <s v="T0224"/>
    <s v="TELECONTACTO-TELECONTACT EXPORT, INC."/>
    <s v="T0224 - TELECONTACTO-TELECONTACT EXPORT, INC."/>
    <s v="SAN JUAN"/>
    <s v="Centro de Llamadas"/>
    <x v="5"/>
    <n v="802500"/>
    <n v="0"/>
    <n v="0"/>
    <n v="802500"/>
    <n v="535"/>
    <m/>
    <n v="10475300"/>
    <m/>
  </r>
  <r>
    <s v="FE-2019-2020-0096"/>
    <s v="En Proceso"/>
    <x v="181"/>
    <s v="En Proceso"/>
    <s v=""/>
    <s v="INCENT FEDE"/>
    <s v="Assignment"/>
    <s v="T0224"/>
    <s v="TELECONTACTO-TELECONTACT EXPORT, INC."/>
    <s v="T0224 - TELECONTACTO-TELECONTACT EXPORT, INC."/>
    <s v="SAN JUAN"/>
    <s v="Centro de Llamadas"/>
    <x v="2"/>
    <n v="200000"/>
    <n v="0"/>
    <n v="0"/>
    <n v="200000"/>
    <n v="0"/>
    <n v="1626280"/>
    <m/>
    <m/>
  </r>
  <r>
    <s v="FIE-2016-2017-IIP-0036"/>
    <s v="2017-000347"/>
    <x v="0"/>
    <d v="2017-02-15T00:00:00"/>
    <s v=""/>
    <s v="INCENT ESP"/>
    <s v="Contract"/>
    <s v="T0206"/>
    <s v="TELEMEDIK INNOVA HEALTH SOLUTIONS, INC."/>
    <s v="T0206 - TELEMEDIK INNOVA HEALTH SOLUTIONS, INC."/>
    <s v="SAN JUAN"/>
    <s v="Tecnología"/>
    <x v="0"/>
    <n v="50000"/>
    <n v="42908.21"/>
    <n v="7091.79"/>
    <n v="0"/>
    <n v="0"/>
    <s v=""/>
    <s v=""/>
    <m/>
  </r>
  <r>
    <s v="FIE-2018-2019-IIP-0013"/>
    <s v="2019-000168-B"/>
    <x v="2"/>
    <d v="2018-10-16T00:00:00"/>
    <s v=""/>
    <s v="INCENT ESP"/>
    <s v="Contract"/>
    <s v="T0032"/>
    <s v="TERESA VIERA GONZALEZ"/>
    <s v="T0032 - TERESA VIERA GONZALEZ"/>
    <s v="SAN JUAN"/>
    <s v="Programa Artesanía"/>
    <x v="4"/>
    <n v="954.61"/>
    <n v="47.65"/>
    <n v="906.96"/>
    <n v="0"/>
    <n v="0"/>
    <s v=""/>
    <s v=""/>
    <m/>
  </r>
  <r>
    <s v="FE-2019-2020-0064"/>
    <s v="2020-000343"/>
    <x v="112"/>
    <d v="2020-02-11T00:00:00"/>
    <d v="2025-10-02T00:00:00"/>
    <s v="INCENT FEDE"/>
    <s v="Contract"/>
    <s v="T0248"/>
    <s v="THREE FORKS - CARIBBEAN LLC"/>
    <s v="T0248 - THREE FORKS - CARIBBEAN LLC"/>
    <s v="VEGA BAJA"/>
    <s v="Alimentos"/>
    <x v="5"/>
    <n v="62400"/>
    <n v="0"/>
    <n v="0"/>
    <n v="62400"/>
    <n v="48"/>
    <m/>
    <n v="1198080"/>
    <m/>
  </r>
  <r>
    <s v="FE-2019-2020-0062"/>
    <s v="2020-000342"/>
    <x v="112"/>
    <d v="2020-02-11T00:00:00"/>
    <d v="2025-10-02T00:00:00"/>
    <s v="INCENT FEDE"/>
    <s v="Contract"/>
    <s v="T0248"/>
    <s v="THREE FORKS - CARIBBEAN LLC"/>
    <s v="T0248 - THREE FORKS - CARIBBEAN LLC"/>
    <s v="VEGA BAJA"/>
    <s v="Alimentos"/>
    <x v="1"/>
    <n v="325000"/>
    <n v="0"/>
    <n v="283434.3"/>
    <n v="41565.700000000012"/>
    <n v="0"/>
    <m/>
    <m/>
    <m/>
  </r>
  <r>
    <s v="FE-2019-2020-0063"/>
    <s v="2020-000341"/>
    <x v="112"/>
    <d v="2020-02-11T00:00:00"/>
    <d v="2025-10-02T00:00:00"/>
    <s v="INCENT FEDE"/>
    <s v="Contract"/>
    <s v="T0248"/>
    <s v="THREE FORKS - CARIBBEAN LLC"/>
    <s v="T0248 - THREE FORKS - CARIBBEAN LLC"/>
    <s v="VEGA BAJA"/>
    <s v="Alimentos"/>
    <x v="2"/>
    <n v="75000"/>
    <n v="0"/>
    <n v="67500"/>
    <n v="7500"/>
    <n v="0"/>
    <n v="1000000"/>
    <m/>
    <m/>
  </r>
  <r>
    <s v="FIE-2018-2019-IIP-0030"/>
    <s v="2019-000278-A"/>
    <x v="20"/>
    <d v="2019-02-27T00:00:00"/>
    <s v=""/>
    <s v="INCENT ESP"/>
    <s v="Contract"/>
    <s v="T0251"/>
    <s v="TIX.BY LLC (DBA) TICKETERA"/>
    <s v="T0251 - TIX.BY LLC (DBA) TICKETERA"/>
    <s v="BAYAMON"/>
    <s v="Tecnología"/>
    <x v="7"/>
    <n v="100000"/>
    <n v="0"/>
    <n v="100000"/>
    <n v="0"/>
    <n v="0"/>
    <s v=""/>
    <s v=""/>
    <m/>
  </r>
  <r>
    <s v="FIE-2016-2017-IIP-0037"/>
    <s v="2018-000335"/>
    <x v="0"/>
    <d v="2018-03-28T00:00:00"/>
    <s v=""/>
    <s v="INCENT ESP"/>
    <s v="Contract"/>
    <s v="T6790"/>
    <s v="TOLEDO &amp; CO., INC."/>
    <s v="T6790 - TOLEDO &amp; CO., INC."/>
    <s v="SAN JUAN"/>
    <s v="Manufactura"/>
    <x v="12"/>
    <n v="5000"/>
    <n v="0"/>
    <n v="5000"/>
    <n v="0"/>
    <n v="0"/>
    <s v=""/>
    <s v=""/>
    <m/>
  </r>
  <r>
    <s v="FIE-2018-2019-IIP-0016"/>
    <s v="2019-000504"/>
    <x v="2"/>
    <d v="2019-06-28T00:00:00"/>
    <s v=""/>
    <s v="INCENT ESP"/>
    <s v="Contract"/>
    <s v="T6790"/>
    <s v="TOLEDO &amp; CO., INC."/>
    <s v="T6790 - TOLEDO &amp; CO., INC."/>
    <s v="SAN JUAN"/>
    <s v="Manufactura"/>
    <x v="0"/>
    <n v="50000"/>
    <n v="0"/>
    <n v="31096.9"/>
    <n v="18903.099999999999"/>
    <n v="0"/>
    <s v=""/>
    <s v=""/>
    <m/>
  </r>
  <r>
    <s v="FIE-2018-2019-IIP-0040"/>
    <s v="2019-000357"/>
    <x v="184"/>
    <d v="2019-03-19T00:00:00"/>
    <s v=""/>
    <s v="INCENT ESP"/>
    <s v="Contract"/>
    <s v="T8550"/>
    <s v="TRIGO CORP"/>
    <s v="T8550 - TRIGO CORP"/>
    <s v="TOA BAJA"/>
    <s v="Alimentos"/>
    <x v="2"/>
    <n v="250000"/>
    <n v="0"/>
    <n v="172811.71"/>
    <n v="77188.290000000008"/>
    <n v="0"/>
    <n v="2510025"/>
    <n v="1040000"/>
    <m/>
  </r>
  <r>
    <s v="FIE-2019-2020-IIP-0026"/>
    <s v="2020-000323"/>
    <x v="7"/>
    <d v="2020-01-31T00:00:00"/>
    <s v=""/>
    <s v="INCENT ESP"/>
    <s v="Contract"/>
    <s v="T8550"/>
    <s v="TRIGO CORP"/>
    <s v="T8550 - TRIGO CORP"/>
    <s v="SAN JUAN"/>
    <s v="Alimentos"/>
    <x v="0"/>
    <n v="50000"/>
    <n v="0"/>
    <n v="0"/>
    <n v="50000"/>
    <n v="0"/>
    <s v=""/>
    <s v=""/>
    <m/>
  </r>
  <r>
    <s v="FIE-2019-2020-IIP-0025"/>
    <s v="2020-000260"/>
    <x v="7"/>
    <d v="2019-12-09T00:00:00"/>
    <s v=""/>
    <s v="INCENT ESP"/>
    <s v="Contract"/>
    <s v="T0166"/>
    <s v="TROPICAL FRUIT SP"/>
    <s v="T0166 - TROPICAL FRUIT SP"/>
    <s v="JUANA DIAZ"/>
    <s v="Alimentos"/>
    <x v="0"/>
    <n v="50000"/>
    <n v="0"/>
    <n v="0"/>
    <n v="50000"/>
    <n v="0"/>
    <s v=""/>
    <s v=""/>
    <m/>
  </r>
  <r>
    <s v="FIE-2016-2017-IIP-0037"/>
    <s v="2018-000190"/>
    <x v="0"/>
    <d v="2017-12-08T00:00:00"/>
    <s v=""/>
    <s v="INCENT ESP"/>
    <s v="Contract"/>
    <s v="U3500"/>
    <s v="UNIVERSAL CHEMICAL CORP."/>
    <s v="U3500 - UNIVERSAL CHEMICAL CORP."/>
    <s v="SAN JUAN"/>
    <s v="Manufactura"/>
    <x v="12"/>
    <n v="15360"/>
    <n v="6922.55"/>
    <n v="8437.4500000000007"/>
    <n v="0"/>
    <n v="0"/>
    <s v=""/>
    <s v=""/>
    <m/>
  </r>
  <r>
    <s v="FE-2019-2020-0008"/>
    <s v="En Proceso"/>
    <x v="4"/>
    <s v="En Proceso"/>
    <s v=""/>
    <s v="INCENT FEDE"/>
    <s v="Assignment"/>
    <m/>
    <s v="UNIVERSAL HOUSING SOLUTIONS INNOVA PUERTO RICO, LLC (INNOVA)"/>
    <s v="UNIVERSAL HOUSING SOLUTIONS INNOVA PUERTO RICO, LLC (INNOVA)"/>
    <s v="TOA BAJA"/>
    <s v="Manufactura de paneles de construcción"/>
    <x v="5"/>
    <n v="207500"/>
    <n v="0"/>
    <n v="0"/>
    <n v="207500"/>
    <n v="83"/>
    <s v=""/>
    <s v=""/>
    <m/>
  </r>
  <r>
    <s v="FE-2019-2020-0009"/>
    <s v="En Proceso"/>
    <x v="4"/>
    <s v="En Proceso"/>
    <s v=""/>
    <s v="INCENT FEDE"/>
    <s v="Assignment"/>
    <m/>
    <s v="UNIVERSAL HOUSING SOLUTIONS INNOVA PUERTO RICO, LLC (INNOVA)"/>
    <s v="UNIVERSAL HOUSING SOLUTIONS INNOVA PUERTO RICO, LLC (INNOVA)"/>
    <s v="TOA BAJA"/>
    <s v="Manufactura de paneles de construcción"/>
    <x v="2"/>
    <n v="900000"/>
    <n v="0"/>
    <n v="0"/>
    <n v="900000"/>
    <n v="0"/>
    <s v=""/>
    <s v=""/>
    <m/>
  </r>
  <r>
    <s v="FE-2017-2018-0007"/>
    <s v="2018-000333-C"/>
    <x v="64"/>
    <d v="2019-11-07T00:00:00"/>
    <s v="31/12/2020"/>
    <s v="INCENT FEDE"/>
    <s v="Contract"/>
    <s v="U0500"/>
    <s v="UNIVERSIDAD DE PUERTO RICO- MAYAGUEZ"/>
    <s v="U0500 - UNIVERSIDAD DE PUERTO RICO- MAYAGUEZ"/>
    <s v="MAYAGUEZ"/>
    <s v="Programa de Ciencia y Tecnología de Alimentos-Apoyo industria Alimentos "/>
    <x v="14"/>
    <n v="215000"/>
    <n v="0"/>
    <n v="94200"/>
    <n v="120800"/>
    <n v="0"/>
    <s v=""/>
    <s v=""/>
    <m/>
  </r>
  <r>
    <s v="FE-2018-2019-0021"/>
    <s v="2019-000151"/>
    <x v="19"/>
    <d v="2018-10-10T00:00:00"/>
    <s v="28/10/2018"/>
    <s v="INCENT FEDE"/>
    <s v="Contract"/>
    <s v="U0500"/>
    <s v="UNIVERSIDAD DE PUERTO RICO- MAYAGUEZ"/>
    <s v="U0500 - UNIVERSIDAD DE PUERTO RICO- MAYAGUEZ"/>
    <s v="MAYAGUEZ"/>
    <s v="XXIII Olimpiada Iberoamericana de Física "/>
    <x v="14"/>
    <n v="15000"/>
    <n v="0"/>
    <n v="15000"/>
    <n v="0"/>
    <n v="0"/>
    <s v=""/>
    <s v=""/>
    <m/>
  </r>
  <r>
    <s v="FE-2018-2019-0117"/>
    <s v="En Proceso"/>
    <x v="76"/>
    <s v="En Proceso"/>
    <s v=""/>
    <s v="INCENT FEDE"/>
    <s v="Assignment"/>
    <s v="U0500"/>
    <s v="UNIVERSIDAD DE PUERTO RICO- MAYAGUEZ"/>
    <s v="U0500 - UNIVERSIDAD DE PUERTO RICO- MAYAGUEZ"/>
    <s v="MAYAGUEZ"/>
    <s v="Laboratorio de Prueba Cáñamo"/>
    <x v="2"/>
    <n v="113546"/>
    <n v="0"/>
    <n v="0"/>
    <n v="113546"/>
    <n v="0"/>
    <s v=""/>
    <s v=""/>
    <m/>
  </r>
  <r>
    <s v="FE-2016-2017-0026"/>
    <s v="2018-000130-A"/>
    <x v="3"/>
    <d v="2018-11-12T00:00:00"/>
    <d v="2019-12-02T00:00:00"/>
    <s v="INCENT FEDE"/>
    <s v="Contract"/>
    <s v="U0000"/>
    <s v="UNIVERSIDAD INTERAMERICANA DE PR"/>
    <s v="U0000 - UNIVERSIDAD INTERAMERICANA DE PR"/>
    <s v="SAN JUAN"/>
    <s v="PR-SBTDC "/>
    <x v="14"/>
    <n v="400000"/>
    <n v="359.22"/>
    <n v="399630.78"/>
    <n v="10"/>
    <n v="0"/>
    <s v=""/>
    <s v=""/>
    <m/>
  </r>
  <r>
    <s v="FE-2019-2020-0053"/>
    <s v="2020-000175"/>
    <x v="185"/>
    <d v="2019-11-13T00:00:00"/>
    <d v="2020-12-11T00:00:00"/>
    <s v="INCENT FEDE"/>
    <s v="Contract"/>
    <s v="U0000"/>
    <s v="UNIVERSIDAD INTERAMERICANA DE PR"/>
    <s v="U0000 - UNIVERSIDAD INTERAMERICANA DE PR"/>
    <s v="SAN JUAN"/>
    <s v="PR-SBTDC "/>
    <x v="14"/>
    <n v="440000"/>
    <n v="0"/>
    <n v="92941.83"/>
    <n v="347058.17"/>
    <n v="0"/>
    <s v=""/>
    <s v=""/>
    <m/>
  </r>
  <r>
    <s v="FE-2019-2020-0083"/>
    <s v="En Proceso"/>
    <x v="49"/>
    <s v="En Proceso"/>
    <s v=""/>
    <s v="INCENT FEDE"/>
    <s v="Assignment"/>
    <s v="U0300"/>
    <s v="UNIVERSIDAD POLITECNICA DE P.R."/>
    <s v="U0300 - UNIVERSIDAD POLITECNICA DE P.R."/>
    <s v="SAN JUAN"/>
    <s v="Programa de Robótica Empresarial Agrícola en escuelas especializadas en agricultura del Departamento de Educación "/>
    <x v="14"/>
    <n v="67154"/>
    <n v="0"/>
    <n v="0"/>
    <n v="67154"/>
    <n v="0"/>
    <s v=""/>
    <s v=""/>
    <m/>
  </r>
  <r>
    <s v="FIE-2018-2019-IIP-0030"/>
    <s v="2020-000233"/>
    <x v="20"/>
    <d v="2019-11-12T00:00:00"/>
    <s v=""/>
    <s v="INCENT ESP"/>
    <s v="Contract"/>
    <s v="U0049"/>
    <s v="UVA GROUP, LLC"/>
    <s v="U0049 - UVA GROUP, LLC"/>
    <s v="SAN JUAN"/>
    <s v="Tecnología"/>
    <x v="7"/>
    <n v="50000"/>
    <n v="0"/>
    <n v="0"/>
    <n v="50000"/>
    <n v="0"/>
    <n v="0"/>
    <n v="0"/>
    <m/>
  </r>
  <r>
    <s v="FIE-2017-2018-IIP-0113"/>
    <s v="2019-000174"/>
    <x v="172"/>
    <d v="2018-10-24T00:00:00"/>
    <s v=""/>
    <s v="INCENT ESP"/>
    <s v="Contract"/>
    <s v="V0187"/>
    <s v="V F ALUMINUM CORP."/>
    <s v="V0187 - V F ALUMINUM CORP."/>
    <s v="CIDRA"/>
    <s v="WINDOW AND DOORS"/>
    <x v="5"/>
    <n v="20700"/>
    <n v="0"/>
    <n v="20700"/>
    <n v="0"/>
    <n v="23"/>
    <n v="27885"/>
    <n v="346840"/>
    <m/>
  </r>
  <r>
    <s v="FE-2018-2019-0018"/>
    <s v="2019-000203"/>
    <x v="19"/>
    <d v="2018-12-04T00:00:00"/>
    <s v="30/6/2019"/>
    <s v="INCENT FEDE"/>
    <s v="Contract"/>
    <s v="V0189"/>
    <s v="V2A, LLC"/>
    <s v="V0189 - V2A, LLC"/>
    <s v="SAN JUAN"/>
    <s v="Código de Incentivos"/>
    <x v="16"/>
    <n v="400000"/>
    <n v="10913.6"/>
    <n v="102640"/>
    <n v="286446.40000000002"/>
    <n v="0"/>
    <s v=""/>
    <s v=""/>
    <m/>
  </r>
  <r>
    <s v="FE-2019-2020-0065"/>
    <s v="2020-000404-B"/>
    <x v="43"/>
    <d v="2020-09-09T00:00:00"/>
    <s v=""/>
    <s v="INCENT FEDE"/>
    <s v="Contract"/>
    <s v="V0189"/>
    <s v="V2A, LLC"/>
    <s v="V0189 - V2A, LLC"/>
    <s v="SAN JUAN"/>
    <s v="Código de Incentivos"/>
    <x v="16"/>
    <n v="1500000"/>
    <n v="31981.72"/>
    <n v="998168"/>
    <n v="469850.28"/>
    <n v="0"/>
    <s v=""/>
    <s v=""/>
    <m/>
  </r>
  <r>
    <s v="FE-2017-2018-0004"/>
    <s v="2018-000039-C"/>
    <x v="24"/>
    <d v="2018-12-31T00:00:00"/>
    <s v="30/6/2019"/>
    <s v="INCENT FEDE"/>
    <s v="Contract"/>
    <s v="V0176"/>
    <s v="VALDES, GARCIA, MARIN &amp; MARTINEZ, LLC"/>
    <s v="V0176 - VALDES, GARCIA, MARIN &amp; MARTINEZ, LLC"/>
    <s v="SANTA ISABEL"/>
    <s v="AUDITORIA"/>
    <x v="16"/>
    <n v="11582"/>
    <m/>
    <n v="11582"/>
    <n v="0"/>
    <n v="0"/>
    <s v=""/>
    <s v=""/>
    <m/>
  </r>
  <r>
    <s v="FE-2018-2019-0071"/>
    <s v="2018-000355"/>
    <x v="122"/>
    <d v="2018-04-20T00:00:00"/>
    <s v="30/6/2019"/>
    <s v="INCENT FEDE"/>
    <s v="Contract"/>
    <s v="V0176"/>
    <s v="VALDES, GARCIA, MARIN &amp; MARTINEZ, LLC"/>
    <s v="V0176 - VALDES, GARCIA, MARIN &amp; MARTINEZ, LLC"/>
    <s v="SANTA ISABEL"/>
    <s v="AUDITORIA"/>
    <x v="16"/>
    <n v="11582"/>
    <n v="2412.56"/>
    <n v="8494.5"/>
    <n v="674.94000000000051"/>
    <n v="0"/>
    <s v=""/>
    <s v=""/>
    <m/>
  </r>
  <r>
    <s v="FE-2019-2020-0043"/>
    <s v="2020-000095"/>
    <x v="123"/>
    <d v="2019-08-16T00:00:00"/>
    <s v="30/6/2020"/>
    <s v="INCENT FEDE"/>
    <s v="Contract"/>
    <s v="V0176"/>
    <s v="VALDES, GARCIA, MARIN &amp; MARTINEZ, LLC"/>
    <s v="V0176 - VALDES, GARCIA, MARIN &amp; MARTINEZ, LLC"/>
    <s v="SANTA ISABEL"/>
    <s v="AUDITORIA"/>
    <x v="16"/>
    <n v="15540"/>
    <n v="0"/>
    <n v="325"/>
    <n v="15215"/>
    <n v="0"/>
    <s v=""/>
    <s v=""/>
    <m/>
  </r>
  <r>
    <s v="FIE-2017-2018-IIP-0010"/>
    <s v="2018-000039-C"/>
    <x v="24"/>
    <d v="2018-12-31T00:00:00"/>
    <s v="30/6/2019"/>
    <s v="INCENT ESP"/>
    <s v="Contract"/>
    <s v="V0176"/>
    <s v="VALDES, GARCIA, MARIN &amp; MARTINEZ, LLP"/>
    <s v="V0176 - VALDES, GARCIA, MARIN &amp; MARTINEZ, LLP"/>
    <s v="SANTA ISABEL"/>
    <s v="AUDITORIA"/>
    <x v="16"/>
    <n v="7220"/>
    <m/>
    <n v="7220"/>
    <n v="0"/>
    <n v="0"/>
    <s v=""/>
    <s v=""/>
    <m/>
  </r>
  <r>
    <s v="FIE-2018-2019-IIP-0042"/>
    <s v="2018-000355"/>
    <x v="122"/>
    <d v="2018-04-20T00:00:00"/>
    <s v="30/6/2019"/>
    <s v="INCENT ESP"/>
    <s v="Contract"/>
    <s v="V0176"/>
    <s v="VALDES, GARCIA, MARIN &amp; MARTINEZ, LLP"/>
    <s v="V0176 - VALDES, GARCIA, MARIN &amp; MARTINEZ, LLP"/>
    <s v="SANTA ISABEL"/>
    <s v="AUDITORIA"/>
    <x v="16"/>
    <n v="7220"/>
    <n v="470.66"/>
    <n v="6675.25"/>
    <n v="74.090000000000146"/>
    <n v="0"/>
    <s v=""/>
    <s v=""/>
    <m/>
  </r>
  <r>
    <s v="FIE-2019-2020-IIP-0027"/>
    <s v="2020-000095"/>
    <x v="123"/>
    <d v="2019-08-16T00:00:00"/>
    <s v="30/6/2020"/>
    <s v="INCENT ESP"/>
    <s v="Contract"/>
    <s v="V0176"/>
    <s v="VALDES, GARCIA, MARIN &amp; MARTINEZ, LLP"/>
    <s v="V0176 - VALDES, GARCIA, MARIN &amp; MARTINEZ, LLP"/>
    <s v="SANTA ISABEL"/>
    <s v="AUDITORIA"/>
    <x v="16"/>
    <n v="9298"/>
    <n v="4.3499999999999996"/>
    <n v="290"/>
    <n v="9003.65"/>
    <n v="0"/>
    <s v=""/>
    <s v=""/>
    <m/>
  </r>
  <r>
    <s v="FIE-2017-2018-IIP-0112"/>
    <s v="2018-000377"/>
    <x v="172"/>
    <d v="2018-05-25T00:00:00"/>
    <s v=""/>
    <s v="INCENT ESP"/>
    <s v="Contract"/>
    <s v="V0182"/>
    <s v="VALERO, INC."/>
    <s v="V0182 - VALERO, INC."/>
    <s v="TOA BAJA"/>
    <s v="SHOPPING CARTS"/>
    <x v="5"/>
    <n v="9000"/>
    <n v="0"/>
    <n v="9000"/>
    <n v="0"/>
    <n v="10"/>
    <n v="121000"/>
    <n v="150800"/>
    <m/>
  </r>
  <r>
    <s v="FIE-2016-2017-IIP-0036"/>
    <s v="2017-000274"/>
    <x v="0"/>
    <d v="2016-12-22T00:00:00"/>
    <s v=""/>
    <s v="INCENT ESP"/>
    <s v="Contract"/>
    <s v="V0142"/>
    <s v="VALIDATION &amp; ENGINEERING GROUP INC"/>
    <s v="V0142 - VALIDATION &amp; ENGINEERING GROUP INC"/>
    <s v="SAN JUAN"/>
    <s v="Servicios "/>
    <x v="0"/>
    <n v="50000"/>
    <n v="11513.41"/>
    <n v="38486.589999999997"/>
    <n v="0"/>
    <n v="0"/>
    <s v=""/>
    <s v=""/>
    <m/>
  </r>
  <r>
    <s v="FIE-2018-2019-IIP-0016"/>
    <s v="2019-000489"/>
    <x v="2"/>
    <d v="2019-06-19T00:00:00"/>
    <s v=""/>
    <s v="INCENT ESP"/>
    <s v="Contract"/>
    <s v="V0142"/>
    <s v="VALIDATION &amp; ENGINEERING GROUP INC"/>
    <s v="V0142 - VALIDATION &amp; ENGINEERING GROUP INC"/>
    <s v="SAN JUAN"/>
    <s v="Servicios "/>
    <x v="0"/>
    <n v="50000"/>
    <n v="0"/>
    <n v="5955.21"/>
    <n v="44044.79"/>
    <n v="0"/>
    <s v=""/>
    <s v=""/>
    <m/>
  </r>
  <r>
    <s v="FE-2017-2018-0044"/>
    <s v="2019-000367-A"/>
    <x v="186"/>
    <d v="2019-10-11T00:00:00"/>
    <s v="25/9/2024"/>
    <s v="INCENT FEDE"/>
    <s v="Contract"/>
    <s v="V0191"/>
    <s v="VALMEG, LLC"/>
    <s v="V0191 - VALMEG, LLC"/>
    <s v="GURABO"/>
    <s v="Manufactura"/>
    <x v="5"/>
    <n v="375000"/>
    <n v="0"/>
    <n v="88800"/>
    <n v="286200"/>
    <n v="250"/>
    <m/>
    <n v="6000000"/>
    <m/>
  </r>
  <r>
    <s v="FE-2017-2018-0045"/>
    <s v="2019-000368"/>
    <x v="186"/>
    <d v="2019-03-26T00:00:00"/>
    <s v="25/9/2024"/>
    <s v="INCENT FEDE"/>
    <s v="Contract"/>
    <s v="V0191"/>
    <s v="VALMEG, LLC"/>
    <s v="V0191 - VALMEG, LLC"/>
    <s v="GURABO"/>
    <s v="Manufactura"/>
    <x v="2"/>
    <n v="2000000"/>
    <n v="0"/>
    <n v="1800000"/>
    <n v="200000"/>
    <n v="0"/>
    <n v="6000000"/>
    <m/>
    <m/>
  </r>
  <r>
    <s v="FIE-2018-2019-IIP-0012"/>
    <s v="2019-000467"/>
    <x v="2"/>
    <d v="2019-05-29T00:00:00"/>
    <s v=""/>
    <s v="INCENT ESP"/>
    <s v="Contract"/>
    <s v="V0193"/>
    <s v="VAZQUEZ TAPIA, TEDDY"/>
    <s v="V0193 - VAZQUEZ TAPIA, TEDDY"/>
    <s v="SAN JUAN"/>
    <s v="Programa Artesanía"/>
    <x v="4"/>
    <n v="320"/>
    <n v="320"/>
    <n v="0"/>
    <n v="0"/>
    <n v="0"/>
    <s v=""/>
    <s v=""/>
    <m/>
  </r>
  <r>
    <s v="FIE-2019-2020-IIP-0023"/>
    <s v="2020-000241"/>
    <x v="7"/>
    <d v="2019-11-22T00:00:00"/>
    <s v=""/>
    <s v="INCENT ESP"/>
    <s v="Contract"/>
    <s v="V0193"/>
    <s v="VAZQUEZ TAPIA, TEDDY"/>
    <s v="V0193 - VAZQUEZ TAPIA, TEDDY"/>
    <s v="SAN JUAN"/>
    <s v="Programa Artesanía"/>
    <x v="4"/>
    <n v="2000"/>
    <n v="0"/>
    <n v="0"/>
    <n v="2000"/>
    <n v="0"/>
    <s v=""/>
    <s v=""/>
    <m/>
  </r>
  <r>
    <s v="FE-2018-2019-0036"/>
    <s v="2020-000171"/>
    <x v="22"/>
    <d v="2019-10-11T00:00:00"/>
    <d v="2024-10-10T00:00:00"/>
    <s v="INCENT FEDE"/>
    <s v="Contract"/>
    <s v="V0153"/>
    <s v="VIANT PUERTO RICO, INC."/>
    <s v="V0153 - VIANT PUERTO RICO, INC."/>
    <s v="VEGA BAJA"/>
    <s v="Manufactura"/>
    <x v="5"/>
    <n v="620000"/>
    <n v="0"/>
    <n v="0"/>
    <n v="620000"/>
    <n v="80"/>
    <m/>
    <n v="1516000"/>
    <m/>
  </r>
  <r>
    <s v="FE-2018-2019-0037"/>
    <s v="2020-000172"/>
    <x v="22"/>
    <d v="2019-10-11T00:00:00"/>
    <d v="2024-10-10T00:00:00"/>
    <s v="INCENT FEDE"/>
    <s v="Contract"/>
    <s v="V0153"/>
    <s v="VIANT PUERTO RICO, INC."/>
    <s v="V0153 - VIANT PUERTO RICO, INC."/>
    <s v="VEGA BAJA"/>
    <s v="Manufactura"/>
    <x v="2"/>
    <n v="380000"/>
    <n v="0"/>
    <n v="0"/>
    <n v="380000"/>
    <n v="0"/>
    <n v="2700000"/>
    <m/>
    <m/>
  </r>
  <r>
    <s v="FIE-2017-2018-IIP-0004"/>
    <s v="2018-000122"/>
    <x v="24"/>
    <d v="2017-11-01T00:00:00"/>
    <s v=""/>
    <s v="INCENT ESP"/>
    <s v="Contract"/>
    <s v="V0179"/>
    <s v="VINCENTY LUGO, ELIZA"/>
    <s v="V0179 - VINCENTY LUGO, ELIZA"/>
    <s v="BARCELONETA"/>
    <s v="Programa Artesanía"/>
    <x v="4"/>
    <n v="1260"/>
    <n v="0"/>
    <n v="1260"/>
    <n v="0"/>
    <n v="0"/>
    <s v=""/>
    <s v=""/>
    <m/>
  </r>
  <r>
    <s v="FIE-2017-2018-IIP-0004"/>
    <s v="2018-000316"/>
    <x v="24"/>
    <d v="2018-03-08T00:00:00"/>
    <s v=""/>
    <s v="INCENT ESP"/>
    <s v="Contract"/>
    <s v="V0179"/>
    <s v="VINCENTY LUGO, ELIZA"/>
    <s v="V0179 - VINCENTY LUGO, ELIZA"/>
    <s v="BARCELONETA"/>
    <s v="Programa Artesanía"/>
    <x v="4"/>
    <n v="1260"/>
    <n v="0"/>
    <n v="1260"/>
    <n v="0"/>
    <n v="0"/>
    <s v=""/>
    <s v=""/>
    <m/>
  </r>
  <r>
    <s v="FIE-2018-2019-IIP-0012"/>
    <s v="2019-000125"/>
    <x v="2"/>
    <d v="2018-09-10T00:00:00"/>
    <s v=""/>
    <s v="INCENT ESP"/>
    <s v="Contract"/>
    <s v="V0179"/>
    <s v="VINCENTY LUGO, ELIZA"/>
    <s v="V0179 - VINCENTY LUGO, ELIZA"/>
    <s v="BARCELONETA"/>
    <s v="Programa Artesanía"/>
    <x v="4"/>
    <n v="1260"/>
    <n v="0"/>
    <n v="1260"/>
    <n v="0"/>
    <n v="0"/>
    <s v=""/>
    <s v=""/>
    <m/>
  </r>
  <r>
    <s v="FIE-2019-2020-IIP-0023"/>
    <s v="2020-000384"/>
    <x v="7"/>
    <d v="2020-02-24T00:00:00"/>
    <s v=""/>
    <s v="INCENT ESP"/>
    <s v="Contract"/>
    <s v="V0179"/>
    <s v="VINCENTY LUGO, ELIZA"/>
    <s v="V0179 - VINCENTY LUGO, ELIZA"/>
    <s v="BARCELONETA"/>
    <s v="Programa Artesanía"/>
    <x v="4"/>
    <n v="2000"/>
    <n v="0"/>
    <n v="0"/>
    <n v="2000"/>
    <n v="0"/>
    <s v=""/>
    <s v=""/>
    <m/>
  </r>
  <r>
    <s v="FIE-2019-2020-IIP-0006"/>
    <s v="En Proceso"/>
    <x v="99"/>
    <s v="En Proceso"/>
    <s v=""/>
    <s v="INCENT ESP"/>
    <s v="Assignment"/>
    <m/>
    <s v="VIRUTA GROUP, INC."/>
    <s v="VIRUTA GROUP, INC."/>
    <s v="GUAYAMA"/>
    <s v="Manufactura de muebles de todo tipo en madera"/>
    <x v="5"/>
    <n v="32000"/>
    <n v="0"/>
    <n v="0"/>
    <n v="32000"/>
    <n v="20"/>
    <m/>
    <n v="468726"/>
    <m/>
  </r>
  <r>
    <s v="FIE-2019-2020-IIP-0007"/>
    <s v="En Proceso"/>
    <x v="99"/>
    <s v="En Proceso"/>
    <s v=""/>
    <s v="INCENT ESP"/>
    <s v="Assignment"/>
    <m/>
    <s v="VIRUTA GROUP, INC."/>
    <s v="VIRUTA GROUP, INC."/>
    <s v="GUAYAMA"/>
    <s v="Manufactura de muebles de todo tipo en madera"/>
    <x v="2"/>
    <n v="50000"/>
    <n v="0"/>
    <n v="0"/>
    <n v="50000"/>
    <n v="0"/>
    <n v="1500000"/>
    <m/>
    <m/>
  </r>
  <r>
    <s v="FIE-2019-2020-IIP-0031"/>
    <s v="En Proceso"/>
    <x v="187"/>
    <s v="En Proceso"/>
    <s v=""/>
    <s v="INCENT ESP"/>
    <s v="Assignment"/>
    <m/>
    <s v="WAVE RANCH, INC."/>
    <s v="WAVE RANCH, INC."/>
    <s v="COROZAL"/>
    <s v="Manufactura de camisas y pantalones"/>
    <x v="5"/>
    <n v="48000"/>
    <n v="0"/>
    <n v="0"/>
    <n v="48000"/>
    <n v="30"/>
    <m/>
    <n v="532200"/>
    <m/>
  </r>
  <r>
    <s v="FIE-2019-2020-IIP-0033"/>
    <s v="En Proceso"/>
    <x v="187"/>
    <s v="En Proceso"/>
    <s v=""/>
    <s v="INCENT ESP"/>
    <s v="Assignment"/>
    <m/>
    <s v="WAVE RANCH, INC."/>
    <s v="WAVE RANCH, INC."/>
    <s v="COROZAL"/>
    <s v="Manufactura de camisas y pantalones"/>
    <x v="1"/>
    <n v="100000"/>
    <n v="0"/>
    <n v="0"/>
    <n v="100000"/>
    <n v="0"/>
    <m/>
    <m/>
    <m/>
  </r>
  <r>
    <s v="FIE-2019-2020-IIP-0032"/>
    <s v="En Proceso"/>
    <x v="187"/>
    <s v="En Proceso"/>
    <s v=""/>
    <s v="INCENT ESP"/>
    <s v="Assignment"/>
    <m/>
    <s v="WAVE RANCH, INC."/>
    <s v="WAVE RANCH, INC."/>
    <s v="COROZAL"/>
    <s v="Manufactura de camisas y pantalones"/>
    <x v="2"/>
    <n v="50000"/>
    <n v="0"/>
    <n v="0"/>
    <n v="50000"/>
    <n v="0"/>
    <n v="300000"/>
    <m/>
    <m/>
  </r>
  <r>
    <s v="FIE-2018-2019-IIE-0073"/>
    <s v="2020-000062"/>
    <x v="188"/>
    <d v="2019-07-26T00:00:00"/>
    <s v=""/>
    <s v="INCENT ESP"/>
    <s v="Contract"/>
    <s v="W0056"/>
    <s v="WBP LLC"/>
    <s v="W0056 - WBP LLC"/>
    <s v="SAN JUAN"/>
    <s v="Manufactura de pasta organica"/>
    <x v="5"/>
    <n v="6000"/>
    <n v="0"/>
    <n v="0"/>
    <n v="6000"/>
    <n v="6"/>
    <n v="80000"/>
    <n v="108000"/>
    <m/>
  </r>
  <r>
    <s v="FIE-2018-2019-IIP-0074"/>
    <s v="2020-000063"/>
    <x v="188"/>
    <d v="2019-07-26T00:00:00"/>
    <s v=""/>
    <s v="INCENT ESP"/>
    <s v="Contract"/>
    <s v="W0056"/>
    <s v="WBP LLC"/>
    <s v="W0056 - WBP LLC"/>
    <s v="SAN JUAN"/>
    <s v="Manufactura de pasta organica"/>
    <x v="2"/>
    <n v="114000"/>
    <n v="0"/>
    <n v="0"/>
    <n v="114000"/>
    <n v="0"/>
    <n v="80000"/>
    <n v="108000"/>
    <m/>
  </r>
  <r>
    <s v="FIE-2017-2018-IIP-0084"/>
    <s v="2018-000217"/>
    <x v="94"/>
    <d v="2017-12-28T00:00:00"/>
    <s v=""/>
    <s v="INCENT ESP"/>
    <s v="Contract"/>
    <s v="W0053"/>
    <s v="WF COMPUTER SERVICES, INC."/>
    <s v="W0053 - WF COMPUTER SERVICES, INC."/>
    <s v="SAN SEBASTIAN"/>
    <s v="Incentivo de Emergencias Huracanes - Generadores"/>
    <x v="3"/>
    <n v="18070"/>
    <n v="70"/>
    <n v="18000"/>
    <n v="0"/>
    <n v="0"/>
    <s v=""/>
    <s v=""/>
    <m/>
  </r>
  <r>
    <s v="FIE-2017-2018-IIP-0008"/>
    <s v="2018-000271"/>
    <x v="24"/>
    <d v="2018-01-29T00:00:00"/>
    <s v=""/>
    <s v="INCENT ESP"/>
    <s v="Contract"/>
    <s v="W0025"/>
    <s v="WOVENWARE, INC"/>
    <s v="W0025 - WOVENWARE, INC"/>
    <s v="SAN JUAN"/>
    <s v="Desarrollo de Software "/>
    <x v="0"/>
    <n v="50000"/>
    <n v="0"/>
    <n v="50000"/>
    <n v="0"/>
    <n v="0"/>
    <m/>
    <m/>
    <m/>
  </r>
  <r>
    <s v="FIE-2017-2018-IIP-0034"/>
    <s v="2018-000149"/>
    <x v="75"/>
    <d v="2017-11-29T00:00:00"/>
    <s v=""/>
    <s v="INCENT ESP"/>
    <s v="Contract"/>
    <s v="W0025"/>
    <s v="WOVENWARE, INC"/>
    <s v="W0025 - WOVENWARE, INC"/>
    <s v="SAN JUAN"/>
    <s v="Incentivo de Emergencias Huracanes - Generadores"/>
    <x v="3"/>
    <n v="25000"/>
    <n v="0"/>
    <n v="0"/>
    <n v="25000"/>
    <n v="0"/>
    <m/>
    <m/>
    <m/>
  </r>
  <r>
    <s v="FIE-2019-2020-IIP-0026"/>
    <s v="2020-000183"/>
    <x v="7"/>
    <d v="2019-10-18T00:00:00"/>
    <s v=""/>
    <s v="INCENT ESP"/>
    <s v="Contract"/>
    <s v="W0025"/>
    <s v="WOVENWARE, INC"/>
    <s v="W0025 - WOVENWARE, INC"/>
    <s v="SAN JUAN"/>
    <s v="Desarrollo de Software "/>
    <x v="0"/>
    <n v="50000"/>
    <n v="0"/>
    <n v="5000"/>
    <n v="45000"/>
    <n v="0"/>
    <m/>
    <m/>
    <m/>
  </r>
  <r>
    <s v="FE-2019-2020-0003"/>
    <s v="2020-000169"/>
    <x v="4"/>
    <d v="2019-10-07T00:00:00"/>
    <d v="2025-06-10T00:00:00"/>
    <s v="INCENT FEDE"/>
    <s v="Contract"/>
    <s v="W0040"/>
    <s v="WOVENWARE, INC."/>
    <s v="W0040 - WOVENWARE, INC."/>
    <s v="SAN JUAN"/>
    <s v="Desarrollo de Software "/>
    <x v="5"/>
    <n v="160000"/>
    <n v="0"/>
    <n v="0"/>
    <n v="160000"/>
    <n v="100"/>
    <s v=""/>
    <n v="3221250"/>
    <m/>
  </r>
  <r>
    <s v="FE-2019-2020-0004"/>
    <s v="2020-000168"/>
    <x v="4"/>
    <d v="2019-10-07T00:00:00"/>
    <d v="2024-06-10T00:00:00"/>
    <s v="INCENT FEDE"/>
    <s v="Contract"/>
    <s v="W0040"/>
    <s v="WOVENWARE, INC."/>
    <s v="W0040 - WOVENWARE, INC."/>
    <s v="SAN JUAN"/>
    <s v="Desarrollo de Software "/>
    <x v="2"/>
    <n v="300000"/>
    <n v="0"/>
    <n v="0"/>
    <n v="300000"/>
    <n v="0"/>
    <n v="335000"/>
    <s v=""/>
    <m/>
  </r>
  <r>
    <s v="FIE-2018-2019-IIP-0030"/>
    <s v="2020-000424"/>
    <x v="20"/>
    <d v="2020-05-27T00:00:00"/>
    <s v=""/>
    <s v="INCENT ESP"/>
    <s v="Contract"/>
    <s v="Y0013"/>
    <s v="YCS PR CORP."/>
    <s v="Y0013 - YCS PR CORP."/>
    <s v="SAN JUAN"/>
    <s v="Tecnología"/>
    <x v="7"/>
    <n v="50000"/>
    <n v="0"/>
    <n v="0"/>
    <n v="50000"/>
    <n v="0"/>
    <s v=""/>
    <s v=""/>
    <m/>
  </r>
  <r>
    <s v="FIE-2019-2020-IIP-0118"/>
    <s v="En Proceso"/>
    <x v="87"/>
    <s v="En Proceso"/>
    <s v=""/>
    <s v="INCENT ESP"/>
    <s v="Assignment"/>
    <m/>
    <s v="YEMI,LLC"/>
    <s v="YEMI,LLC"/>
    <s v="PONCE"/>
    <s v="ELABORACIÓN DE PRODUCTOS DE REPOSTERÍA"/>
    <x v="5"/>
    <n v="30000"/>
    <n v="0"/>
    <n v="0"/>
    <n v="30000"/>
    <n v="5"/>
    <m/>
    <n v="75400"/>
    <m/>
  </r>
  <r>
    <s v="FIE-2019-2020-IIP-0119"/>
    <s v="En Proceso"/>
    <x v="87"/>
    <s v="En Proceso"/>
    <s v=""/>
    <s v="INCENT ESP"/>
    <s v="Assignment"/>
    <m/>
    <s v="YEMI,LLC"/>
    <s v="YEMI,LLC"/>
    <s v="PONCE"/>
    <s v="ELABORACIÓN DE PRODUCTOS DE REPOSTERÍA"/>
    <x v="2"/>
    <n v="20000"/>
    <n v="0"/>
    <n v="0"/>
    <n v="20000"/>
    <n v="0"/>
    <n v="40000"/>
    <m/>
    <m/>
  </r>
  <r>
    <s v="FE-2016-2017-0028"/>
    <s v="2017-000413"/>
    <x v="176"/>
    <d v="2017-04-20T00:00:00"/>
    <s v=""/>
    <s v="INCENT FEDE"/>
    <s v="Contract"/>
    <s v="Y0000"/>
    <s v="YOUTH ENTREPRENEURSHIP EDUCATION SYSTEM"/>
    <s v="Y0000 - YOUTH ENTREPRENEURSHIP EDUCATION SYSTEM"/>
    <s v="BAYAMON"/>
    <s v="Robot Makers "/>
    <x v="14"/>
    <n v="22500"/>
    <n v="0"/>
    <n v="22500"/>
    <n v="0"/>
    <n v="0"/>
    <s v=""/>
    <s v=""/>
    <m/>
  </r>
  <r>
    <s v="FE-2017-2018-0006"/>
    <s v="2018-000260"/>
    <x v="77"/>
    <d v="2018-01-24T00:00:00"/>
    <s v="30/6/18"/>
    <s v="INCENT FEDE"/>
    <s v="Contract"/>
    <s v="Y0000"/>
    <s v="YOUTH ENTREPRENEURSHIP EDUCATION SYSTEM"/>
    <s v="Y0000 - YOUTH ENTREPRENEURSHIP EDUCATION SYSTEM"/>
    <s v="BAYAMON"/>
    <s v="Enseñanza Empresarial "/>
    <x v="14"/>
    <n v="113200"/>
    <n v="6500"/>
    <n v="106700"/>
    <n v="0"/>
    <n v="0"/>
    <s v=""/>
    <s v=""/>
    <m/>
  </r>
  <r>
    <s v="FE-2018-2019-0049"/>
    <s v="2019-000266"/>
    <x v="32"/>
    <d v="2019-02-06T00:00:00"/>
    <s v="30/6/2019"/>
    <s v="INCENT FEDE"/>
    <s v="Contract"/>
    <s v="Y0000"/>
    <s v="YOUTH ENTREPRENEURSHIP EDUCATION SYSTEM"/>
    <s v="Y0000 - YOUTH ENTREPRENEURSHIP EDUCATION SYSTEM"/>
    <s v="BAYAMON"/>
    <s v="Programa de Robot Makers "/>
    <x v="14"/>
    <n v="171500"/>
    <n v="500"/>
    <n v="171000"/>
    <n v="0"/>
    <n v="0"/>
    <s v=""/>
    <s v=""/>
    <m/>
  </r>
  <r>
    <s v="FE-2019-2020-0082"/>
    <s v="2020-000334-A"/>
    <x v="49"/>
    <d v="2020-06-29T00:00:00"/>
    <s v="15/12/2020"/>
    <s v="INCENT FEDE"/>
    <s v="Contract"/>
    <s v="Y0000"/>
    <s v="YOUTH ENTREPRENEURSHIP EDUCATION SYSTEM"/>
    <s v="Y0000 - YOUTH ENTREPRENEURSHIP EDUCATION SYSTEM"/>
    <s v="BAYAMON"/>
    <s v="Robot Makers "/>
    <x v="14"/>
    <n v="198500"/>
    <n v="0"/>
    <n v="69750"/>
    <n v="128750"/>
    <n v="0"/>
    <s v=""/>
    <s v=""/>
    <m/>
  </r>
  <r>
    <s v="FIE-2017-2018-IIP-0061"/>
    <s v="2018-000219"/>
    <x v="144"/>
    <d v="2017-12-28T00:00:00"/>
    <s v=""/>
    <s v="INCENT ESP"/>
    <s v="Contract"/>
    <s v="Y9500"/>
    <s v="YUMAC HOME FURNITURE,INC."/>
    <s v="Y9500 - YUMAC HOME FURNITURE,INC."/>
    <s v="SAN JUAN"/>
    <s v="Incentivo de Emergencias Huracanes - Generadores"/>
    <x v="3"/>
    <n v="17750"/>
    <n v="17750"/>
    <n v="0"/>
    <n v="0"/>
    <n v="0"/>
    <s v=""/>
    <s v=""/>
    <m/>
  </r>
  <r>
    <s v="FE-2018-2019-0078"/>
    <s v="En Proceso"/>
    <x v="189"/>
    <s v="En Proceso"/>
    <s v=""/>
    <s v="INCENT FEDE"/>
    <s v="Assignment"/>
    <m/>
    <s v="ZIMMER MANUFACTURING BV"/>
    <s v="ZIMMER MANUFACTURING BV"/>
    <s v="PONCE"/>
    <s v="IMPLANTES ORTOPEDICOS                                                           "/>
    <x v="2"/>
    <n v="1200000"/>
    <n v="0"/>
    <n v="0"/>
    <n v="1200000"/>
    <n v="0"/>
    <n v="3165000"/>
    <n v="20000000"/>
    <m/>
  </r>
  <r>
    <s v="FIE-2018-2019-IIP-0030"/>
    <s v="2020-000232"/>
    <x v="20"/>
    <d v="2019-11-08T00:00:00"/>
    <s v=""/>
    <s v="INCENT ESP"/>
    <s v="Contract"/>
    <s v="Z0021"/>
    <s v="ZOMIO, INC."/>
    <s v="Z0021 - ZOMIO, INC."/>
    <s v="BARCELONETA"/>
    <s v="Tecnología"/>
    <x v="7"/>
    <n v="50000"/>
    <n v="0"/>
    <n v="50000"/>
    <n v="0"/>
    <n v="0"/>
    <n v="0"/>
    <n v="0"/>
    <m/>
  </r>
  <r>
    <s v="FIE-2016-2017-IIP-0058"/>
    <s v="2018-000029"/>
    <x v="190"/>
    <d v="2017-07-13T00:00:00"/>
    <s v=""/>
    <s v="INCENT ESP"/>
    <s v="Contract"/>
    <s v="Z0016"/>
    <s v="ZONA AGRICOLA, LLC"/>
    <s v="Z0016 - ZONA AGRICOLA, LLC"/>
    <s v="SAN JUAN"/>
    <s v="Alimentos"/>
    <x v="1"/>
    <n v="82000"/>
    <n v="0"/>
    <n v="82000"/>
    <n v="0"/>
    <n v="0"/>
    <n v="200000"/>
    <n v="256360"/>
    <m/>
  </r>
  <r>
    <s v="FIE-2018-2019-IIP-0012"/>
    <s v="2019-000427"/>
    <x v="2"/>
    <d v="2019-05-02T00:00:00"/>
    <s v=""/>
    <s v="INCENT ESP"/>
    <s v="Contract"/>
    <s v="S0318"/>
    <s v="ZULMA SANTIAGO CONSULTORES, INC."/>
    <s v="S0318 - ZULMA SANTIAGO CONSULTORES, INC."/>
    <s v="SAN JUAN"/>
    <s v="Programa Artesanía"/>
    <x v="4"/>
    <n v="12000"/>
    <m/>
    <n v="12000"/>
    <n v="0"/>
    <n v="0"/>
    <s v=""/>
    <s v="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2">
  <r>
    <s v="FE-2015-2016-0024"/>
    <s v="2016-000616"/>
    <x v="0"/>
    <d v="2016-03-31T00:00:00"/>
    <d v="2025-11-30T00:00:00"/>
    <s v="Contract"/>
    <s v="PRATT &amp; WHITNEY PUERTO RICO, INC"/>
    <s v="AGUADILLA"/>
    <s v="Software para la manufactura de piezas para aviones "/>
    <x v="0"/>
    <n v="1483614"/>
    <n v="0"/>
    <n v="1428917.59"/>
    <n v="54696.409999999916"/>
    <n v="7.69"/>
  </r>
  <r>
    <s v="FE-2017-2018-0025"/>
    <s v="2018-000346"/>
    <x v="1"/>
    <d v="2018-04-11T00:00:00"/>
    <d v="2023-04-10T00:00:00"/>
    <s v="Contract"/>
    <s v="COPAN INDUSTRIES, INC."/>
    <s v="AGUADILLA"/>
    <s v="Dispositivos médicos"/>
    <x v="1"/>
    <n v="400000"/>
    <n v="0"/>
    <n v="300000"/>
    <n v="100000"/>
    <n v="16.66"/>
  </r>
  <r>
    <s v="FIE-2017-2018-IIP-0107"/>
    <s v="2019-000198"/>
    <x v="2"/>
    <d v="2018-11-29T00:00:00"/>
    <d v="2021-11-28T00:00:00"/>
    <s v="Cancelled"/>
    <s v="COOPERATIVA AGRICULTORES DEL SUROESTE"/>
    <s v="LAJAS"/>
    <s v="Meat processing"/>
    <x v="1"/>
    <n v="14000"/>
    <n v="2800"/>
    <n v="11200"/>
    <n v="0"/>
    <n v="11.01"/>
  </r>
  <r>
    <s v="FE-2017-2018-0028"/>
    <s v="2019-000226"/>
    <x v="3"/>
    <d v="2018-12-17T00:00:00"/>
    <d v="2024-06-16T00:00:00"/>
    <s v="Contract"/>
    <s v="STRYKER PR, INC."/>
    <s v="ARROYO"/>
    <s v="Manufacture of surgical products"/>
    <x v="1"/>
    <n v="114000"/>
    <n v="0"/>
    <n v="78763.360000000001"/>
    <n v="35236.639999999999"/>
    <n v="23.58"/>
  </r>
  <r>
    <s v="FE-2018-2019-0027"/>
    <s v="2019-000248"/>
    <x v="4"/>
    <d v="2019-01-22T00:00:00"/>
    <d v="2025-01-21T00:00:00"/>
    <s v="Contract"/>
    <s v="HONEYWELL AEROSPACE DE PR, INC."/>
    <s v="AGUADILLA"/>
    <s v="Aeroespacial"/>
    <x v="1"/>
    <n v="2000000"/>
    <n v="0"/>
    <n v="1600000"/>
    <n v="400000"/>
    <n v="2.2400000000000002"/>
  </r>
  <r>
    <s v="FIE-2018-2019-IIP-0035"/>
    <s v="2019-000288"/>
    <x v="5"/>
    <d v="2019-02-22T00:00:00"/>
    <d v="2025-02-21T00:00:00"/>
    <s v="Cancelled"/>
    <s v="INTERNET VISION DEVELOPMENT CORP."/>
    <s v="SAN JUAN"/>
    <s v="Desarrollo de software "/>
    <x v="1"/>
    <n v="107500"/>
    <n v="28000"/>
    <n v="37500"/>
    <n v="42000"/>
    <s v="826%.  Finanzas solicita cancelar  $28,000, ya que el contrato se venció eo 04-03-2025"/>
  </r>
  <r>
    <s v="FIE-2018-2019-IIP-0026"/>
    <s v="2019-000342-A"/>
    <x v="6"/>
    <d v="2019-03-07T00:00:00"/>
    <d v="2024-03-06T00:00:00"/>
    <s v="Cancelled"/>
    <s v="AG GROUP, INC."/>
    <s v="BAYAMON"/>
    <s v="Electric panels"/>
    <x v="2"/>
    <n v="49000"/>
    <n v="49000"/>
    <n v="0"/>
    <n v="0"/>
    <n v="6.62"/>
  </r>
  <r>
    <s v="FIE-2018-2019-IIP-0040"/>
    <s v="2019-000357"/>
    <x v="7"/>
    <d v="2019-03-19T00:00:00"/>
    <d v="2024-03-18T00:00:00"/>
    <s v="Cancelled"/>
    <s v="TRIGO CORP"/>
    <s v="TOA BAJA"/>
    <s v="Alimentos"/>
    <x v="3"/>
    <n v="250000"/>
    <n v="9689.48"/>
    <n v="240310.52"/>
    <n v="0"/>
    <n v="13489.08"/>
  </r>
  <r>
    <s v="FE-2017-2018-0032"/>
    <s v="2019-000365"/>
    <x v="8"/>
    <d v="2019-03-21T00:00:00"/>
    <d v="2024-09-20T00:00:00"/>
    <s v="Cancelled"/>
    <s v="JANSSEN CILAG MANUFACTURING LL"/>
    <s v="GURABO"/>
    <s v="Farmaceútica"/>
    <x v="1"/>
    <n v="400000"/>
    <n v="127640.16"/>
    <n v="272359.83999999997"/>
    <n v="0"/>
    <s v="1403% / cancelado porque venció"/>
  </r>
  <r>
    <s v="FE-2018-2019-0025"/>
    <s v="2019-000389"/>
    <x v="9"/>
    <d v="2019-03-28T00:00:00"/>
    <d v="2029-03-27T00:00:00"/>
    <s v="Contract"/>
    <s v="FENWAL INTERNATIONAL, INC."/>
    <s v="MAYAGUEZ"/>
    <s v="Equipos para aislar plaquetas y recolectar sangre"/>
    <x v="2"/>
    <n v="6800000"/>
    <n v="0"/>
    <n v="2242146.8000000003"/>
    <n v="4557853.1999999993"/>
    <n v="9.93"/>
  </r>
  <r>
    <s v="FE-2018-2019-0001"/>
    <s v="2019-000400"/>
    <x v="10"/>
    <d v="2019-04-07T00:00:00"/>
    <d v="2024-04-16T00:00:00"/>
    <s v="Cancelled"/>
    <s v="MEDTRONICS PUERTO RICO OPERATIONS CO."/>
    <s v="JUNCOS"/>
    <s v="Alimentos"/>
    <x v="1"/>
    <n v="1500000"/>
    <n v="1500000"/>
    <n v="0"/>
    <n v="0"/>
    <n v="729.19"/>
  </r>
  <r>
    <s v="FE-2017-2018-0047"/>
    <s v="2019-000402"/>
    <x v="11"/>
    <d v="2019-04-15T00:00:00"/>
    <d v="2024-04-14T00:00:00"/>
    <s v="Contract"/>
    <s v="EDWARDS LIFESCIENCE TECHNOLOGY SARL"/>
    <s v="AÑASCO"/>
    <s v="Manufactura de dispositivos médicos"/>
    <x v="2"/>
    <n v="1500000"/>
    <n v="0"/>
    <n v="870975.33"/>
    <n v="629024.67000000004"/>
    <n v="48.7"/>
  </r>
  <r>
    <s v="FE-2018-2019-0002"/>
    <s v="2019-000399"/>
    <x v="10"/>
    <d v="2019-04-17T00:00:00"/>
    <d v="2024-04-16T00:00:00"/>
    <s v="Cancelled"/>
    <s v="MEDTRONICS PUERTO RICO OPERATIONS CO."/>
    <s v="JUNCOS"/>
    <s v="Medical device"/>
    <x v="2"/>
    <n v="2500000"/>
    <n v="2500000"/>
    <n v="0"/>
    <n v="0"/>
    <n v="0.81"/>
  </r>
  <r>
    <s v="FE-2018-2019-0086"/>
    <s v="2019-000433"/>
    <x v="12"/>
    <d v="2019-05-09T00:00:00"/>
    <d v="2024-05-08T00:00:00"/>
    <s v="Cancelled"/>
    <s v="FUNDAL CORP."/>
    <s v="HUMACAO"/>
    <s v="Fundicion de aluminio"/>
    <x v="1"/>
    <n v="104000"/>
    <n v="104000"/>
    <n v="0"/>
    <n v="0"/>
    <n v="-0.13"/>
  </r>
  <r>
    <s v="FE-2018-2019-0051"/>
    <s v="2020-000045"/>
    <x v="5"/>
    <d v="2019-07-19T00:00:00"/>
    <d v="2024-07-18T00:00:00"/>
    <s v="Contract"/>
    <s v="AIAC INTERNATIONAL PHARMA, LLC"/>
    <s v="ARECIBO"/>
    <s v="Manufactura de drogas y preparaciones farmacéuticas "/>
    <x v="3"/>
    <n v="3000000"/>
    <n v="0"/>
    <n v="2939588.37"/>
    <n v="60411.629999999888"/>
    <n v="10.67"/>
  </r>
  <r>
    <s v="FE-2019-2020-0016"/>
    <s v="2020-000078"/>
    <x v="13"/>
    <d v="2019-08-06T00:00:00"/>
    <d v="2026-08-05T00:00:00"/>
    <s v="Contract"/>
    <s v="MEDTRONICS PUERTO RICO OPERATIONS CO."/>
    <s v="JUNCOS"/>
    <s v="Medical device"/>
    <x v="1"/>
    <n v="1750000"/>
    <n v="0"/>
    <n v="0"/>
    <n v="1750000"/>
    <n v="4.82"/>
  </r>
  <r>
    <s v="FE-2018-2019-0052"/>
    <s v="2020-000098"/>
    <x v="5"/>
    <d v="2019-08-16T00:00:00"/>
    <d v="2025-02-15T00:00:00"/>
    <s v="Cancelled"/>
    <s v="HAMILTON SUNDSTRAND DE PR INC."/>
    <s v="SANTA ISABEL"/>
    <s v="Aeroespacial"/>
    <x v="1"/>
    <n v="1080000"/>
    <n v="708000"/>
    <n v="372000"/>
    <n v="0"/>
    <n v="1.66"/>
  </r>
  <r>
    <s v="FE-2018-2019-0003"/>
    <s v="2020-000108"/>
    <x v="10"/>
    <d v="2019-08-20T00:00:00"/>
    <d v="2025-02-19T00:00:00"/>
    <s v="Contract"/>
    <s v="SARTORIUS STEDIM FILTERS, INC."/>
    <s v="YAUCO"/>
    <s v="Dispositivos médicos"/>
    <x v="1"/>
    <n v="1650000"/>
    <n v="0"/>
    <n v="652384.22"/>
    <n v="997615.78"/>
    <s v="Inf Adicional Necesaria"/>
  </r>
  <r>
    <s v="FE-2018-2019-0094"/>
    <s v="2020-000167"/>
    <x v="14"/>
    <d v="2019-10-07T00:00:00"/>
    <d v="2024-10-06T00:00:00"/>
    <s v="Cancelled"/>
    <s v="MARVEL INTERNATIONAL, INC."/>
    <s v="GUAYNABO"/>
    <s v="Hamburguesas, especies, sopas y sofritos           "/>
    <x v="1"/>
    <n v="56000"/>
    <n v="56000"/>
    <n v="0"/>
    <n v="0"/>
    <n v="2.06"/>
  </r>
  <r>
    <s v="FIE-2018-2019-IIP-0084"/>
    <s v="2020-000165"/>
    <x v="15"/>
    <d v="2019-10-07T00:00:00"/>
    <d v="2024-10-06T00:00:00"/>
    <s v="Contract"/>
    <s v="INDUSTRIAL STEEL MANUFACTURING LLC"/>
    <s v="GURABO"/>
    <s v="Manufactura"/>
    <x v="1"/>
    <n v="15000"/>
    <n v="0"/>
    <n v="10800"/>
    <n v="4200"/>
    <n v="3.5"/>
  </r>
  <r>
    <s v="FE-2019-2020-0003"/>
    <s v="2020-000169"/>
    <x v="13"/>
    <d v="2019-10-07T00:00:00"/>
    <d v="2025-10-06T00:00:00"/>
    <s v="Cancelled"/>
    <s v="WOVENWARE, INC."/>
    <s v="SAN JUAN"/>
    <s v="Desarrollo de software "/>
    <x v="1"/>
    <n v="160000"/>
    <n v="102400"/>
    <n v="57600"/>
    <n v="0"/>
    <s v="463%.  Finanzas canceló 6-12-2025.  Contrato venció."/>
  </r>
  <r>
    <s v="FE-2019-2020-0018"/>
    <s v="2020-000203"/>
    <x v="13"/>
    <d v="2019-10-30T00:00:00"/>
    <d v="2024-10-29T00:00:00"/>
    <s v="Cancelled"/>
    <s v="GANADEROS BORGES, INC."/>
    <s v="NAGUABO"/>
    <s v="Hamburguers patties processing"/>
    <x v="3"/>
    <n v="271000"/>
    <n v="251200"/>
    <n v="19800"/>
    <n v="0"/>
    <s v="269% / Contrato Vencido"/>
  </r>
  <r>
    <s v="FE-2019-2020-0026"/>
    <s v="2020-000193"/>
    <x v="13"/>
    <d v="2019-10-31T00:00:00"/>
    <d v="2024-10-30T00:00:00"/>
    <s v="Cancelled"/>
    <s v="PENTAQ MFG. CORP."/>
    <s v="SABANA GRANDE"/>
    <s v="Military uniforms and accesories manufacturing"/>
    <x v="3"/>
    <n v="372550"/>
    <n v="13893"/>
    <n v="358657"/>
    <n v="0"/>
    <s v="275% / Contrato Vencido 1/10/2025"/>
  </r>
  <r>
    <s v="FIE-2018-2019-IIP-0024"/>
    <s v="2020-000250"/>
    <x v="16"/>
    <d v="2019-11-22T00:00:00"/>
    <d v="2024-11-21T00:00:00"/>
    <s v="Contract"/>
    <s v="LABCHEMS CORP."/>
    <s v="MAYAGUEZ"/>
    <s v="Servicios de automatización, validación de procesos y control de calidad"/>
    <x v="2"/>
    <n v="100000"/>
    <n v="0"/>
    <n v="0"/>
    <n v="100000"/>
    <s v="Inf Adicional Necesaria"/>
  </r>
  <r>
    <s v="FE-2019-2020-0010"/>
    <s v="2020-000252-A"/>
    <x v="13"/>
    <d v="2019-11-27T00:00:00"/>
    <d v="2025-11-26T00:00:00"/>
    <s v="Cancelled"/>
    <s v="CONGAR INTERNATIONAL CORP."/>
    <s v="CAYEY"/>
    <s v="Cigars                                                                          "/>
    <x v="1"/>
    <n v="577500"/>
    <n v="202200"/>
    <n v="375300"/>
    <n v="0"/>
    <s v="222%.  La Oficina de Finanzas canceló asignación por incumplimiento en base al 5-12-2025"/>
  </r>
  <r>
    <s v="FE-2019-2020-0019"/>
    <s v="2020-000071-B"/>
    <x v="13"/>
    <d v="2019-12-19T00:00:00"/>
    <d v="2025-07-31T00:00:00"/>
    <s v="Contract"/>
    <s v="EDMUNDO B. FERNANDEZ, INC. "/>
    <s v="SAN JUAN"/>
    <s v="Industria del ron"/>
    <x v="3"/>
    <n v="6000000"/>
    <n v="0"/>
    <n v="5999999.9999999991"/>
    <n v="0"/>
    <n v="64.150000000000006"/>
  </r>
  <r>
    <s v="FE-2019-2020-0085"/>
    <s v="2020-000285"/>
    <x v="17"/>
    <d v="2019-12-30T00:00:00"/>
    <d v="2024-12-29T00:00:00"/>
    <s v="Cancelled"/>
    <s v="PASTELERIA CIDRINES, INC."/>
    <s v="ARECIBO"/>
    <s v="Alimentos"/>
    <x v="4"/>
    <n v="750000"/>
    <n v="58497.75"/>
    <n v="691502.24999999988"/>
    <n v="0"/>
    <s v="Programa de apoyo a empresarios minoritarios / Contrato Vencido 1/10/2025.  EN MARZO CON W002599 REALIZARON UN PAGO POR 6,476.25.K CANCELADO"/>
  </r>
  <r>
    <s v="FIE-2018-2019-IIP-0036"/>
    <s v="2020-000304-A"/>
    <x v="4"/>
    <d v="2020-01-23T00:00:00"/>
    <d v="2025-01-22T00:00:00"/>
    <s v="Cancelled"/>
    <s v="MLN,LLC"/>
    <s v="PONCE"/>
    <s v="Alimentos"/>
    <x v="5"/>
    <n v="50000"/>
    <n v="50000"/>
    <n v="0"/>
    <n v="0"/>
    <s v="Programa de apoyo a empresarios minoritarios"/>
  </r>
  <r>
    <s v="FIE-2018-2019-IIP-0036"/>
    <s v="2020-000454"/>
    <x v="4"/>
    <d v="2020-01-27T00:00:00"/>
    <d v="2025-01-26T00:00:00"/>
    <s v="Cancelled"/>
    <s v="AGRO EMPRESAS DEL MAR, LLC"/>
    <s v="VEGA BAJA"/>
    <s v="Lechugas, hortalizas y otras plantas aromáticas"/>
    <x v="6"/>
    <n v="55440"/>
    <n v="1813.34"/>
    <n v="53626.66"/>
    <n v="0"/>
    <s v="Programa de apoyo a empresarios minoritarios.  Finanzas solicita cancelar balance al 6-9-2025"/>
  </r>
  <r>
    <s v="FIE-2018-2019-IIP-0036"/>
    <s v="2020-000310"/>
    <x v="4"/>
    <d v="2020-01-29T00:00:00"/>
    <d v="2025-01-28T00:00:00"/>
    <s v="Contract"/>
    <s v="FAMILY FARM AQUAPONICS, INC."/>
    <s v="TOA ALTA"/>
    <s v="Alimentos"/>
    <x v="5"/>
    <n v="201750"/>
    <n v="0"/>
    <n v="201750"/>
    <n v="0"/>
    <s v="Programa de apoyo a empresarios minoritarios"/>
  </r>
  <r>
    <s v="FIE-2018-2019-IIP-0036"/>
    <s v="2020-000321-B"/>
    <x v="4"/>
    <d v="2020-01-29T00:00:00"/>
    <d v="2025-01-28T00:00:00"/>
    <s v="Contract"/>
    <s v="FARM IN THE CITY"/>
    <s v="GUAYNABO"/>
    <s v="Alimentos"/>
    <x v="5"/>
    <n v="300000"/>
    <n v="0"/>
    <n v="225000"/>
    <n v="75000"/>
    <s v="Programa de apoyo a empresarios minoritarios"/>
  </r>
  <r>
    <s v="FIE-2018-2019-IIP-0036"/>
    <s v="2020-000311"/>
    <x v="4"/>
    <d v="2020-01-29T00:00:00"/>
    <d v="2025-01-28T00:00:00"/>
    <s v="Contract"/>
    <s v="HACIENDA LOS AMIGOS CORPORATION"/>
    <s v="AIBONITO"/>
    <s v="Alimentos"/>
    <x v="5"/>
    <n v="17480.189999999999"/>
    <n v="0"/>
    <n v="7502.02"/>
    <n v="9978.1699999999983"/>
    <s v="Programa de apoyo a empresarios minoritarios"/>
  </r>
  <r>
    <s v="FIE-2019-2020-IIP-0035"/>
    <s v="2020-000330"/>
    <x v="18"/>
    <d v="2020-01-31T00:00:00"/>
    <d v="2023-01-30T00:00:00"/>
    <s v="Cancelled"/>
    <s v="LA CEIBA CORP."/>
    <s v="BARRANQUITAS"/>
    <s v="Turnovers made with vegetable flour"/>
    <x v="1"/>
    <n v="16000"/>
    <n v="4800"/>
    <n v="11200"/>
    <n v="0"/>
    <n v="0.41"/>
  </r>
  <r>
    <s v="FIE-2019-2020-IIP-0060"/>
    <s v="2020-000331"/>
    <x v="18"/>
    <d v="2020-01-31T00:00:00"/>
    <d v="2025-01-30T00:00:00"/>
    <s v="Contract"/>
    <s v="LA CEIBA CORP."/>
    <s v="BARRANQUITAS"/>
    <s v="Turnovers made with vegetable flour"/>
    <x v="3"/>
    <n v="50000"/>
    <n v="0"/>
    <n v="28985.25"/>
    <n v="21014.75"/>
    <n v="0.41"/>
  </r>
  <r>
    <s v="FIE-2018-2019-IIP-0036"/>
    <s v="2020-000327"/>
    <x v="4"/>
    <d v="2020-02-07T00:00:00"/>
    <d v="2025-02-06T00:00:00"/>
    <s v="Contract"/>
    <s v="HECTOR SEDA H/N/C FINCA H.SEDA"/>
    <s v="SANTA ISABEL"/>
    <s v="Alimentos"/>
    <x v="5"/>
    <n v="167774.25"/>
    <n v="0"/>
    <n v="69787.5"/>
    <n v="97986.75"/>
    <s v="Programa de apoyo a empresarios minoritarios"/>
  </r>
  <r>
    <s v="FE-2019-2020-0023"/>
    <s v="2020-000344"/>
    <x v="13"/>
    <d v="2020-02-11T00:00:00"/>
    <d v="2025-02-10T00:00:00"/>
    <s v="Contract"/>
    <s v="SNC TECHNICAL SERVICES, LLC"/>
    <s v="CAMUY"/>
    <s v="Uniformes militares"/>
    <x v="3"/>
    <n v="1135553.92"/>
    <n v="0"/>
    <n v="1011712.52"/>
    <n v="123841.39999999991"/>
    <n v="0.53"/>
  </r>
  <r>
    <s v="FE-2019-2020-0024"/>
    <s v="2020-000345"/>
    <x v="13"/>
    <d v="2020-02-11T00:00:00"/>
    <d v="2025-02-10T00:00:00"/>
    <s v="Contract"/>
    <s v="SNC TECHNICAL SERVICES, LLC"/>
    <s v="CAMUY"/>
    <s v="Uniformes militares"/>
    <x v="2"/>
    <n v="1440000"/>
    <n v="0"/>
    <n v="0"/>
    <n v="1440000"/>
    <n v="0.53"/>
  </r>
  <r>
    <s v="FE-2019-2020-0062"/>
    <s v="2020-000342"/>
    <x v="19"/>
    <d v="2020-02-11T00:00:00"/>
    <d v="2025-02-10T00:00:00"/>
    <s v="Contract"/>
    <s v="THREE FORKS - CARIBBEAN LLC"/>
    <s v="VEGA BAJA"/>
    <s v="Alimentos"/>
    <x v="2"/>
    <n v="325000"/>
    <n v="0"/>
    <n v="283434.3"/>
    <n v="41565.700000000012"/>
    <n v="2.39"/>
  </r>
  <r>
    <s v="FE-2019-2020-0063"/>
    <s v="2020-000341"/>
    <x v="19"/>
    <d v="2020-02-11T00:00:00"/>
    <d v="2025-02-10T00:00:00"/>
    <s v="Contract"/>
    <s v="THREE FORKS - CARIBBEAN LLC"/>
    <s v="VEGA BAJA"/>
    <s v="Alimentos"/>
    <x v="3"/>
    <n v="75000"/>
    <n v="0"/>
    <n v="67500"/>
    <n v="7500"/>
    <n v="2.39"/>
  </r>
  <r>
    <s v="FE-2019-2020-0064"/>
    <s v="2020-000343"/>
    <x v="19"/>
    <d v="2020-02-11T00:00:00"/>
    <d v="2025-02-10T00:00:00"/>
    <s v="Contract"/>
    <s v="THREE FORKS - CARIBBEAN LLC"/>
    <s v="VEGA BAJA"/>
    <s v="Alimentos"/>
    <x v="1"/>
    <n v="62400"/>
    <n v="0"/>
    <n v="0"/>
    <n v="62400"/>
    <n v="2.39"/>
  </r>
  <r>
    <s v="FIE-2019-2020-IIP-0079"/>
    <s v="2020-000364"/>
    <x v="19"/>
    <d v="2020-02-21T00:00:00"/>
    <d v="2025-02-20T00:00:00"/>
    <s v="Cancelled"/>
    <s v="EMPRESAS ORTIZ BRUNET, INC."/>
    <s v="GUAYNABO"/>
    <s v="Arena manufacturada"/>
    <x v="1"/>
    <n v="110000"/>
    <n v="110000"/>
    <n v="0"/>
    <n v="0"/>
    <n v="0.24"/>
  </r>
  <r>
    <s v="FE-2019-2020-0047"/>
    <s v="2020-000371"/>
    <x v="20"/>
    <d v="2020-02-24T00:00:00"/>
    <d v="2025-02-23T00:00:00"/>
    <s v="Contract"/>
    <s v="ABBOTT DIAGNOSTICS INTERNATIONAL, LTD "/>
    <s v="SAN JUAN"/>
    <s v="Farmaceútica"/>
    <x v="1"/>
    <n v="1110000"/>
    <n v="0"/>
    <n v="888000"/>
    <n v="222000"/>
    <n v="36.26"/>
  </r>
  <r>
    <s v="FIE-2018-2019-IIP-0036"/>
    <s v="2020-000401"/>
    <x v="4"/>
    <d v="2020-03-09T00:00:00"/>
    <d v="2025-09-08T00:00:00"/>
    <s v="Contract"/>
    <s v="HORTALIZAS HIDROPONICAS DEL OESTE, INC."/>
    <s v="SAN JUAN"/>
    <s v="Alimentos"/>
    <x v="5"/>
    <n v="208867"/>
    <n v="0"/>
    <n v="142542"/>
    <n v="66325"/>
    <s v="Programa de apoyo a empresarios minoritarios"/>
  </r>
  <r>
    <s v="FIE60-2019-2020-0001"/>
    <s v="2020-001077"/>
    <x v="21"/>
    <d v="2020-03-30T00:00:00"/>
    <d v="2029-06-30T00:00:00"/>
    <s v="Cancelled (Balance pending)"/>
    <s v="INVEST PUERTO RICO, INC. "/>
    <s v="SAN JUAN"/>
    <s v="Promoción de pr en el exterior ley 13-2017"/>
    <x v="7"/>
    <n v="50000000"/>
    <n v="2500000"/>
    <n v="27500000"/>
    <n v="20000000"/>
    <s v="Politica Pública"/>
  </r>
  <r>
    <s v="FE-2018-2019-0103"/>
    <s v="2020-000420"/>
    <x v="22"/>
    <d v="2020-04-14T00:00:00"/>
    <d v="2025-04-13T00:00:00"/>
    <s v="Contract"/>
    <s v="BOEHRINGER INGELHEIM ANIMAL HEALTH PUERTO RICO"/>
    <s v="SAN JUAN"/>
    <s v="Manufactura de productos farmacéuticos"/>
    <x v="3"/>
    <n v="8760000"/>
    <n v="0"/>
    <n v="2687741"/>
    <n v="6072259"/>
    <n v="3.16"/>
  </r>
  <r>
    <s v="FE-2018-2019-0104"/>
    <s v="2020-000419"/>
    <x v="22"/>
    <d v="2020-04-14T00:00:00"/>
    <d v="2025-04-13T00:00:00"/>
    <s v="Contract"/>
    <s v="BOEHRINGER INGELHEIM ANIMAL HEALTH PUERTO RICO"/>
    <s v="SAN JUAN"/>
    <s v="Manufactura de productos farmacéuticos"/>
    <x v="1"/>
    <n v="963000"/>
    <n v="0"/>
    <n v="275400"/>
    <n v="687600"/>
    <n v="3.16"/>
  </r>
  <r>
    <s v="FIE-2019-2020-IIP-0051"/>
    <s v="2020-000429"/>
    <x v="23"/>
    <d v="2020-06-02T00:00:00"/>
    <d v="2025-06-01T00:00:00"/>
    <s v="Contract"/>
    <s v="MERAKI PAPER &amp; PLASTIC MFG LLC"/>
    <s v="CAROLINA"/>
    <s v="Manufactura de vasos de papel y tapas plasticas desechables"/>
    <x v="1"/>
    <n v="18000"/>
    <n v="0"/>
    <n v="0"/>
    <n v="18000"/>
    <n v="3.96"/>
  </r>
  <r>
    <s v="FIE-2018-2019-IIP-0036"/>
    <s v="2020-000433"/>
    <x v="4"/>
    <d v="2020-06-11T00:00:00"/>
    <d v="2025-06-20T00:00:00"/>
    <s v="Contract"/>
    <s v="LA FINCA DE DON JUAN CORP."/>
    <s v="Comerío"/>
    <s v="Acuaponía, cilantro, variedad de lechugas y productos relacionados"/>
    <x v="5"/>
    <n v="103528"/>
    <n v="0"/>
    <n v="765"/>
    <n v="102763"/>
    <s v="Programa de apoyo a empresarios minoritarios"/>
  </r>
  <r>
    <s v="FIE-2018-2019-IIP-0036"/>
    <s v="2020-000434"/>
    <x v="4"/>
    <d v="2020-06-28T00:00:00"/>
    <d v="2025-06-27T00:00:00"/>
    <s v="Contract"/>
    <s v="HACIENDA TIERRA ALTA, INC. "/>
    <s v="SAN JUAN"/>
    <s v="Alimentos"/>
    <x v="5"/>
    <n v="87240"/>
    <n v="0"/>
    <n v="74201.25"/>
    <n v="13038.75"/>
    <s v="Programa de apoyo a empresarios minoritarios"/>
  </r>
  <r>
    <s v="FIE-2019-2020-IIP-0074"/>
    <s v="2020-000451"/>
    <x v="24"/>
    <d v="2020-06-28T00:00:00"/>
    <d v="2025-06-27T00:00:00"/>
    <s v="Contract"/>
    <s v="KEFRUITS LLC"/>
    <s v="CAROLINA"/>
    <s v="Procesamiento de  carnes de res, cerdo y pequeños rumiantes"/>
    <x v="1"/>
    <n v="12500"/>
    <n v="0"/>
    <n v="5500"/>
    <n v="7000"/>
    <n v="6.27"/>
  </r>
  <r>
    <s v="FIE-2019-2020-IIP-0120"/>
    <s v="2020-000452"/>
    <x v="25"/>
    <d v="2020-06-28T00:00:00"/>
    <d v="2023-06-27T00:00:00"/>
    <s v="Contract"/>
    <s v="PRODUCTOS LA FINCA, INC."/>
    <s v="SABANA GRANDE"/>
    <s v="Alimentos"/>
    <x v="1"/>
    <n v="24000"/>
    <n v="0"/>
    <n v="22400"/>
    <n v="1600"/>
    <n v="86.07"/>
  </r>
  <r>
    <s v="FIE-2018-2019-IIP-0036"/>
    <s v="2021-000015"/>
    <x v="4"/>
    <d v="2020-07-10T00:00:00"/>
    <d v="2025-07-09T00:00:00"/>
    <s v="Contract"/>
    <s v="CESAR A. OLIVER CANABAL, INC"/>
    <s v="SAN JUAN"/>
    <s v="Alimentos"/>
    <x v="5"/>
    <n v="143100"/>
    <n v="0"/>
    <n v="0"/>
    <n v="143100"/>
    <s v="Programa de apoyo a empresarios minoritarios"/>
  </r>
  <r>
    <s v="FIE-2018-2019-IIP-0036"/>
    <s v="2021-000014"/>
    <x v="4"/>
    <d v="2020-07-10T00:00:00"/>
    <d v="2025-07-09T00:00:00"/>
    <s v="Contract"/>
    <s v="LOURDES PEREZ RUIZ, INC."/>
    <s v="SAN JUAN"/>
    <s v="Alimentos"/>
    <x v="5"/>
    <n v="260456"/>
    <n v="0"/>
    <n v="87997"/>
    <n v="172459"/>
    <s v="Programa de apoyo a empresarios minoritarios"/>
  </r>
  <r>
    <s v="FE-2019-2020-0067"/>
    <s v="2021-000010-A"/>
    <x v="26"/>
    <d v="2020-07-14T00:00:00"/>
    <d v="2026-07-13T00:00:00"/>
    <s v="Cancelled"/>
    <s v="BECTON DICKINSON CARIBE LTD., INC."/>
    <s v="JUNCOS"/>
    <s v="Aguja con valvula que se inserta en vena"/>
    <x v="3"/>
    <n v="7000000"/>
    <n v="2705575.85"/>
    <n v="4294424.1500000004"/>
    <n v="0"/>
    <s v="764% - Cierre de Fábrica"/>
  </r>
  <r>
    <s v="FE-2019-2020-0068"/>
    <s v="2021-000009"/>
    <x v="26"/>
    <d v="2020-07-14T00:00:00"/>
    <d v="2026-07-13T00:00:00"/>
    <s v="Cancelled"/>
    <s v="BECTON DICKINSON CARIBE LTD., INC."/>
    <s v="JUNCOS"/>
    <s v="Aguja con valvula que se inserta en vena"/>
    <x v="1"/>
    <n v="15000"/>
    <n v="15000"/>
    <n v="0"/>
    <n v="0"/>
    <s v="764% / Cierre de Fábrica"/>
  </r>
  <r>
    <s v="FIE-2019-2020-IIP-0121"/>
    <s v="2021-000013"/>
    <x v="25"/>
    <d v="2020-07-15T00:00:00"/>
    <d v="2025-07-14T00:00:00"/>
    <s v="Contract"/>
    <s v="PRODUCTOS LA FINCA, INC."/>
    <s v="SABANA GRANDE"/>
    <s v="Alimentos"/>
    <x v="3"/>
    <n v="153005"/>
    <n v="0"/>
    <n v="149618.98000000001"/>
    <n v="3386.0199999999895"/>
    <n v="86.07"/>
  </r>
  <r>
    <s v="FIE-2018-2019-IIP-0036"/>
    <s v="2021-000018"/>
    <x v="4"/>
    <d v="2020-07-17T00:00:00"/>
    <d v="2025-07-16T00:00:00"/>
    <s v="Contract"/>
    <s v="DASALY INCORPORADO"/>
    <s v="SAN JUAN"/>
    <s v="Alimentos"/>
    <x v="5"/>
    <n v="254814"/>
    <n v="0"/>
    <n v="235638"/>
    <n v="19176"/>
    <s v="Programa de apoyo a empresarios minoritarios"/>
  </r>
  <r>
    <s v="FIE60-2020-2021-0009"/>
    <s v="2021-000150-A"/>
    <x v="27"/>
    <d v="2020-07-23T00:00:00"/>
    <d v="2025-07-22T00:00:00"/>
    <s v="Contract"/>
    <s v="GUIDANT PUERTO RICO BV "/>
    <s v="DORADO"/>
    <s v="Medical device"/>
    <x v="8"/>
    <n v="280000"/>
    <n v="0"/>
    <n v="252000"/>
    <n v="28000"/>
    <n v="0.59"/>
  </r>
  <r>
    <s v="FE-2016-2017-0034"/>
    <s v="2021-000026-A"/>
    <x v="28"/>
    <d v="2020-07-24T00:00:00"/>
    <d v="2023-07-23T00:00:00"/>
    <s v="Cancelled"/>
    <s v="ESSENTRA PACKAGING PUERTO RICO, INC."/>
    <s v="GUAYNABO"/>
    <s v="Industrial and commercial printed cartons manufacturing"/>
    <x v="1"/>
    <n v="572000"/>
    <n v="23997.26"/>
    <n v="548002.74"/>
    <n v="0"/>
    <n v="3.04"/>
  </r>
  <r>
    <s v="FE-2019-2020-0095"/>
    <s v="2021-000070"/>
    <x v="29"/>
    <d v="2020-08-20T00:00:00"/>
    <d v="2025-08-19T00:00:00"/>
    <s v="Contract"/>
    <s v="TELECONTACTO-TELECONTACT EXPORT, INC."/>
    <s v="SAN JUAN"/>
    <s v="Centro de llamadas"/>
    <x v="1"/>
    <n v="802500"/>
    <n v="0"/>
    <n v="72900"/>
    <n v="729600"/>
    <n v="13.22"/>
  </r>
  <r>
    <s v="FE-2019-2020-0096"/>
    <s v="2021-000069"/>
    <x v="29"/>
    <d v="2020-08-20T00:00:00"/>
    <d v="2025-08-19T00:00:00"/>
    <s v="Contract"/>
    <s v="TELECONTACTO-TELECONTACT EXPORT, INC."/>
    <s v="SAN JUAN"/>
    <s v="Centro de llamadas"/>
    <x v="3"/>
    <n v="200000"/>
    <n v="0"/>
    <n v="143584.66"/>
    <n v="56415.34"/>
    <n v="13.22"/>
  </r>
  <r>
    <s v="FIE60-2020-2021-0004"/>
    <s v="2021-000135"/>
    <x v="30"/>
    <d v="2020-08-20T00:00:00"/>
    <d v="2025-08-19T00:00:00"/>
    <s v="Cancelled"/>
    <s v="CAFE ORO DE PUERTO RICO, INC."/>
    <s v="LARES"/>
    <s v="Coffe manufacturing"/>
    <x v="8"/>
    <n v="54400"/>
    <n v="39680"/>
    <n v="14720"/>
    <n v="0"/>
    <n v="0.19"/>
  </r>
  <r>
    <s v="FIE-2018-2019-IIP-0036"/>
    <s v="2021-000078"/>
    <x v="4"/>
    <d v="2020-08-26T00:00:00"/>
    <d v="2025-08-25T00:00:00"/>
    <s v="Contract"/>
    <s v="JARDIN HACIENDA MONTECHIQUITO, INC."/>
    <s v="SAN JUAN"/>
    <s v="Alimentos"/>
    <x v="5"/>
    <n v="33438.75"/>
    <n v="0"/>
    <n v="0"/>
    <n v="33438.75"/>
    <s v="Programa de apoyo a empresarios minoritarios"/>
  </r>
  <r>
    <s v="FIE-2018-2019-IIP-0036"/>
    <s v="2021-000076-A"/>
    <x v="4"/>
    <d v="2020-08-31T00:00:00"/>
    <d v="2027-05-30T00:00:00"/>
    <s v="Contract"/>
    <s v="HACIENDA JUJEMI, INC."/>
    <s v="SAN JUAN"/>
    <s v="Alimentos"/>
    <x v="5"/>
    <n v="64721.01"/>
    <n v="0"/>
    <n v="0"/>
    <n v="64721.01"/>
    <s v="Programa de apoyo a empresarios minoritarios"/>
  </r>
  <r>
    <s v="FIE60-2020-2021-0031"/>
    <s v="2021-000132"/>
    <x v="31"/>
    <d v="2020-09-11T00:00:00"/>
    <d v="2025-09-10T00:00:00"/>
    <s v="Cancelled"/>
    <s v="ASPEN SURGICAL PUERTO RICO CORP. "/>
    <s v="LAS PIEDRAS"/>
    <s v="Escarpelos y navajas quirurgicas"/>
    <x v="8"/>
    <n v="325500"/>
    <n v="325500"/>
    <n v="0"/>
    <n v="0"/>
    <s v="181%.  Finanzas solicita cancelar balance al 4-21-2025, ya que la empresa solicito se cancelara vía correo electrónico el 03-18-2025"/>
  </r>
  <r>
    <s v="FE-2018-2019-0099"/>
    <s v="2021-000104"/>
    <x v="12"/>
    <d v="2020-09-14T00:00:00"/>
    <d v="2025-09-13T00:00:00"/>
    <s v="Contract"/>
    <s v="OPTUM SERVICES (PUERTO RICO) LLC"/>
    <s v="SAN JUAN"/>
    <s v="Innovación y servicios de salud "/>
    <x v="1"/>
    <n v="3537500"/>
    <n v="0"/>
    <n v="3314000"/>
    <n v="223500"/>
    <n v="17.73"/>
  </r>
  <r>
    <s v="FE-2018-2019-0100"/>
    <s v="2021-000105"/>
    <x v="12"/>
    <d v="2020-09-14T00:00:00"/>
    <d v="2025-09-15T00:00:00"/>
    <s v="Contract"/>
    <s v="OPTUM SERVICES (PUERTO RICO) LLC"/>
    <s v="SAN JUAN"/>
    <s v="Innovación y servicios de salud "/>
    <x v="3"/>
    <n v="1100000"/>
    <n v="0"/>
    <n v="0"/>
    <n v="1100000"/>
    <n v="17.73"/>
  </r>
  <r>
    <s v="FIE60-2020-2021-0021"/>
    <s v="2021-000177"/>
    <x v="27"/>
    <d v="2020-09-24T00:00:00"/>
    <d v="2025-09-23T00:00:00"/>
    <s v="Contract"/>
    <s v="PF CONSUMER HEALTHCARE B.V."/>
    <s v="GUAYAMA"/>
    <s v="Farmaceútica"/>
    <x v="8"/>
    <n v="5760000"/>
    <n v="0"/>
    <n v="2304000"/>
    <n v="3456000"/>
    <n v="4.71"/>
  </r>
  <r>
    <s v="FIE60-2020-2021-0020"/>
    <s v="2021-000179"/>
    <x v="27"/>
    <d v="2020-09-24T00:00:00"/>
    <d v="2025-09-23T00:00:00"/>
    <s v="Cancelled"/>
    <s v="PF CONSUMER HEALTHCARE B.V."/>
    <s v="GUAYAMA"/>
    <s v="Farmaceútica"/>
    <x v="9"/>
    <n v="6000000"/>
    <n v="6000000"/>
    <n v="0"/>
    <n v="0"/>
    <n v="4.71"/>
  </r>
  <r>
    <s v="FIE60-2020-2021-0022"/>
    <s v="2021-000178"/>
    <x v="27"/>
    <d v="2020-09-24T00:00:00"/>
    <d v="2025-09-23T00:00:00"/>
    <s v="Contract"/>
    <s v="PF CONSUMER HEALTHCARE B.V."/>
    <s v="GUAYAMA"/>
    <s v="Farmaceútica"/>
    <x v="10"/>
    <n v="22450000"/>
    <n v="0"/>
    <n v="8980000"/>
    <n v="13470000"/>
    <n v="4.71"/>
  </r>
  <r>
    <s v="FIE60-2020-2021-0036"/>
    <s v="2021-000175"/>
    <x v="31"/>
    <d v="2020-09-25T00:00:00"/>
    <d v="2025-09-24T00:00:00"/>
    <s v="Contract"/>
    <s v="PEPSI-COLA PUERTO RICO DISTRIBUTING LLC"/>
    <s v="TOA BAJA"/>
    <s v="Beverage manufacturing"/>
    <x v="8"/>
    <n v="1000000"/>
    <n v="0"/>
    <n v="800000"/>
    <n v="200000"/>
    <n v="20.5"/>
  </r>
  <r>
    <s v="FIE-2019-2020-IIP-0087"/>
    <s v="2021-000134"/>
    <x v="32"/>
    <d v="2020-10-01T00:00:00"/>
    <d v="2025-10-05T00:00:00"/>
    <s v="Contract"/>
    <s v="AMASAR LLC"/>
    <s v="SAN JUAN"/>
    <s v="Alimentos"/>
    <x v="1"/>
    <n v="20000"/>
    <n v="0"/>
    <n v="14000"/>
    <n v="6000"/>
    <n v="1.47"/>
  </r>
  <r>
    <s v="FIE-2018-2019-IIP-0036"/>
    <s v="2021-000142"/>
    <x v="4"/>
    <d v="2020-10-13T00:00:00"/>
    <d v="2025-10-12T00:00:00"/>
    <s v="Contract"/>
    <s v="JOSE LUIS JIMENEZ H/N/C "/>
    <s v="SAN JUAN"/>
    <s v="Alimentos"/>
    <x v="5"/>
    <n v="52016"/>
    <n v="0"/>
    <n v="45142.31"/>
    <n v="6873.6900000000023"/>
    <s v="Programa de apoyo a empresarios minoritarios"/>
  </r>
  <r>
    <s v="FIE-2018-2019-IIP-0036"/>
    <s v="2021-000170"/>
    <x v="4"/>
    <d v="2020-10-16T00:00:00"/>
    <d v="2025-10-15T00:00:00"/>
    <s v="Contract"/>
    <s v="ORAGRO, LLC"/>
    <s v="ARROYO"/>
    <s v="Hidropónicos"/>
    <x v="5"/>
    <n v="60750"/>
    <n v="0"/>
    <n v="0"/>
    <n v="60750"/>
    <s v="Programa de apoyo a empresarios minoritarios"/>
  </r>
  <r>
    <s v="FIE-2018-2019-IIP-0036"/>
    <s v="2021-000153"/>
    <x v="4"/>
    <d v="2020-10-16T00:00:00"/>
    <d v="2025-10-15T00:00:00"/>
    <s v="Contract"/>
    <s v="VEGETALES HIDROPONICOS, INC."/>
    <s v="SAN GERMAN"/>
    <s v="Cilantrillo, tomates, pimientos, entre otros productos"/>
    <x v="5"/>
    <n v="300000"/>
    <n v="0"/>
    <n v="0"/>
    <n v="300000"/>
    <s v="Programa de apoyo a empresarios minoritarios"/>
  </r>
  <r>
    <s v="FIE-2018-2019-IIP-0036"/>
    <s v="2021-000148"/>
    <x v="4"/>
    <d v="2020-10-16T00:00:00"/>
    <d v="2025-10-15T00:00:00"/>
    <s v="Contract"/>
    <s v="HACIENDA RAMIREZ, INC."/>
    <s v="SAN SEBASTIAN "/>
    <s v="Hidropónicos"/>
    <x v="5"/>
    <n v="212017"/>
    <n v="0"/>
    <n v="201473"/>
    <n v="10544"/>
    <s v="Programa de apoyo a empresarios minoritarios"/>
  </r>
  <r>
    <s v="FE-2019-2020-0006"/>
    <s v="2021-000151"/>
    <x v="13"/>
    <d v="2020-10-20T00:00:00"/>
    <d v="2025-10-19T00:00:00"/>
    <s v="Cancelled"/>
    <s v="DESTILERIA CRUZ CORP."/>
    <s v="SAN JUAN"/>
    <s v="Industria del ron"/>
    <x v="1"/>
    <n v="40000"/>
    <n v="40000"/>
    <n v="0"/>
    <n v="0"/>
    <n v="39.840000000000003"/>
  </r>
  <r>
    <s v="FE-2019-2020-0007"/>
    <s v="2021-000152"/>
    <x v="13"/>
    <d v="2020-10-20T00:00:00"/>
    <d v="2025-10-19T00:00:00"/>
    <s v="Cancelled"/>
    <s v="DESTILERIA CRUZ CORP."/>
    <s v="SAN JUAN"/>
    <s v="Industria del ron"/>
    <x v="3"/>
    <n v="297270"/>
    <n v="283996.74"/>
    <n v="13273.26"/>
    <n v="0"/>
    <n v="39.840000000000003"/>
  </r>
  <r>
    <s v="FIE60-2020-2021-0048"/>
    <s v="2021-000138"/>
    <x v="33"/>
    <d v="2020-10-20T00:00:00"/>
    <d v="2025-10-19T00:00:00"/>
    <s v="Contract"/>
    <s v="CAMPOLOR, INC."/>
    <s v="PONCE"/>
    <s v="Alimentos"/>
    <x v="10"/>
    <n v="50000"/>
    <n v="0"/>
    <n v="48912.9"/>
    <n v="1087.0999999999985"/>
    <n v="5.92"/>
  </r>
  <r>
    <s v="FIE60-2020-2021-0047"/>
    <s v="2021-000137"/>
    <x v="33"/>
    <d v="2020-10-20T00:00:00"/>
    <d v="2025-10-19T00:00:00"/>
    <s v="Contract"/>
    <s v="CAMPOLOR, INC."/>
    <s v="PONCE"/>
    <s v="Alimentos"/>
    <x v="8"/>
    <n v="75000"/>
    <n v="0"/>
    <n v="50000"/>
    <n v="25000"/>
    <n v="5.92"/>
  </r>
  <r>
    <s v="FIE-2018-2019-IIP-0036"/>
    <s v="2021-000154"/>
    <x v="4"/>
    <d v="2020-10-22T00:00:00"/>
    <d v="2025-10-21T00:00:00"/>
    <s v="Contract"/>
    <s v="HACIENDA BRILOMAR, INC."/>
    <s v="SAN SEBASTIAN"/>
    <s v="Hidropónicos"/>
    <x v="5"/>
    <n v="42862"/>
    <n v="0"/>
    <n v="41535"/>
    <n v="1327"/>
    <s v="Programa de apoyo a empresarios minoritarios"/>
  </r>
  <r>
    <s v="FE-2019-2020-0088"/>
    <s v="2021-000228"/>
    <x v="34"/>
    <d v="2020-10-22T00:00:00"/>
    <d v="2025-10-21T00:00:00"/>
    <s v="Cancelled"/>
    <s v="AGILE DOCUMENT REVIEW SERIES, LLC"/>
    <s v="SAN JUAN"/>
    <s v="Servicios legales"/>
    <x v="1"/>
    <n v="600000"/>
    <n v="574400"/>
    <n v="25600"/>
    <n v="0"/>
    <n v="9.1300000000000008"/>
  </r>
  <r>
    <s v="FE-2019-2020-0089"/>
    <s v="2021-000227"/>
    <x v="34"/>
    <d v="2020-10-22T00:00:00"/>
    <d v="2025-10-21T00:00:00"/>
    <s v="Contract"/>
    <s v="AGILE DOCUMENT REVIEW SERIES, LLC"/>
    <s v="SAN JUAN"/>
    <s v="Servicios legales"/>
    <x v="3"/>
    <n v="300000"/>
    <n v="0"/>
    <n v="131761"/>
    <n v="168239"/>
    <n v="9.1300000000000008"/>
  </r>
  <r>
    <s v="FIE60-2020-2021-0013"/>
    <s v="2021-000145"/>
    <x v="27"/>
    <d v="2020-10-23T00:00:00"/>
    <d v="2025-10-22T00:00:00"/>
    <s v="Contract"/>
    <s v="CREDIT RX LLC"/>
    <s v="MAYAGUEZ"/>
    <s v="Call center"/>
    <x v="8"/>
    <n v="15600"/>
    <n v="0"/>
    <n v="0"/>
    <n v="15600"/>
    <n v="4.47"/>
  </r>
  <r>
    <s v="FIE60-2020-2021-0033"/>
    <s v="2021-000142"/>
    <x v="31"/>
    <d v="2020-10-23T00:00:00"/>
    <d v="2025-10-22T00:00:00"/>
    <s v="Contract"/>
    <s v="COOLING SYSTEMS CARIBE, INC."/>
    <s v="AIBONITO"/>
    <s v="Motor vehicles radiators                                                        "/>
    <x v="8"/>
    <n v="40000"/>
    <n v="0"/>
    <n v="0"/>
    <n v="40000"/>
    <n v="1.45"/>
  </r>
  <r>
    <s v="FIE60-2020-2021-0034"/>
    <s v="2021-000141"/>
    <x v="31"/>
    <d v="2020-10-23T00:00:00"/>
    <d v="2025-10-22T00:00:00"/>
    <s v="Contract"/>
    <s v="COOLING SYSTEMS CARIBE, INC."/>
    <s v="AIBONITO"/>
    <s v="Motor vehicles radiators                                                        "/>
    <x v="10"/>
    <n v="330000"/>
    <n v="0"/>
    <n v="185899.85"/>
    <n v="144100.15"/>
    <n v="1.45"/>
  </r>
  <r>
    <s v="FIE60-2020-2021-0029"/>
    <s v="2021-000181"/>
    <x v="31"/>
    <d v="2020-10-27T00:00:00"/>
    <d v="2025-10-26T00:00:00"/>
    <s v="Contract"/>
    <s v="STERI-TECH, INC."/>
    <s v="SALINAS"/>
    <s v="Storage services of medical devices &amp; sterilization services"/>
    <x v="8"/>
    <n v="209000"/>
    <n v="0"/>
    <n v="125400"/>
    <n v="83600"/>
    <n v="0.61"/>
  </r>
  <r>
    <s v="FIE60-2020-2021-0028"/>
    <s v="2021-000149-A"/>
    <x v="31"/>
    <d v="2020-10-27T00:00:00"/>
    <d v="2025-10-26T00:00:00"/>
    <s v="Contract"/>
    <s v="STERI-TECH, INC."/>
    <s v="SALINAS"/>
    <s v="Storage services of medical devices &amp; sterilization services"/>
    <x v="10"/>
    <n v="2300000"/>
    <n v="0"/>
    <n v="2095170.98"/>
    <n v="204829.02000000002"/>
    <n v="0.61"/>
  </r>
  <r>
    <s v="FIE-2018-2019-IIP-0036"/>
    <s v="2021-000164"/>
    <x v="4"/>
    <d v="2020-10-28T00:00:00"/>
    <d v="2025-10-27T00:00:00"/>
    <s v="Contract"/>
    <s v="JOSE V. FABRE LABOY"/>
    <s v="SABANA GRANDE"/>
    <s v="Germinación de plantas de melón, ají, pimiento, calabaza, pepinillo, plátano, guineo, entre otros productos"/>
    <x v="5"/>
    <n v="104325"/>
    <n v="0"/>
    <n v="9000"/>
    <n v="95325"/>
    <s v="Programa de apoyo a empresarios minoritarios"/>
  </r>
  <r>
    <s v="FIE60-2020-2021-0015"/>
    <s v="2021-000160"/>
    <x v="27"/>
    <d v="2020-10-29T00:00:00"/>
    <d v="2025-10-28T00:00:00"/>
    <s v="Contract"/>
    <s v="LORMAR OPTICAL DISTRIBUTORS, INC."/>
    <s v="CAGUAS"/>
    <s v="Ophtalmic lenses"/>
    <x v="8"/>
    <n v="60000"/>
    <n v="0"/>
    <n v="44400"/>
    <n v="15600"/>
    <n v="0.76"/>
  </r>
  <r>
    <s v="FIE60-2020-2021-0075"/>
    <s v="2021-000144-A"/>
    <x v="35"/>
    <d v="2020-11-06T00:00:00"/>
    <d v="2025-11-05T00:00:00"/>
    <s v="Contract"/>
    <s v="CORPORACION COMUNITARIA RECICLAJE DEL NORTE, INC. P.T."/>
    <s v="ARECIBO"/>
    <s v="Reciclaje"/>
    <x v="8"/>
    <n v="25250"/>
    <n v="0"/>
    <n v="19950"/>
    <n v="5300"/>
    <n v="0.33"/>
  </r>
  <r>
    <s v="FIE60-2020-2021-0076"/>
    <s v="2021-000143-A"/>
    <x v="35"/>
    <d v="2020-11-06T00:00:00"/>
    <d v="2025-11-05T00:00:00"/>
    <s v="Contract"/>
    <s v="CORPORACION COMUNITARIA RECICLAJE DEL NORTE, INC. P.T."/>
    <s v="ARECIBO"/>
    <s v="Reciclaje"/>
    <x v="9"/>
    <n v="223685"/>
    <n v="0"/>
    <n v="128635.6"/>
    <n v="95049.4"/>
    <n v="0.33"/>
  </r>
  <r>
    <s v="FIE-2018-2019-IIP-0036"/>
    <s v="2021-000186"/>
    <x v="4"/>
    <d v="2020-11-16T00:00:00"/>
    <d v="2025-11-15T00:00:00"/>
    <s v="Contract"/>
    <s v="GRUPO VESAN, LLC"/>
    <s v="PONCE"/>
    <s v="Variedad de lechugas"/>
    <x v="5"/>
    <n v="21863"/>
    <n v="0"/>
    <n v="0"/>
    <n v="21863"/>
    <s v="Programa de apoyo a empresarios minoritarios"/>
  </r>
  <r>
    <s v="FIE60-2020-2021-0006"/>
    <s v="2021-000156"/>
    <x v="30"/>
    <d v="2020-11-30T00:00:00"/>
    <d v="2025-11-29T00:00:00"/>
    <s v="Contract"/>
    <s v="IFCO RECYCLING, INC."/>
    <s v="CAGUAS"/>
    <s v="Recycle of paper plastic and aluminum                                           "/>
    <x v="8"/>
    <n v="430000"/>
    <n v="0"/>
    <n v="164800"/>
    <n v="265200"/>
    <n v="4.9000000000000004"/>
  </r>
  <r>
    <s v="FIE60-2020-2021-0035"/>
    <s v="2021-000162"/>
    <x v="31"/>
    <d v="2020-12-22T00:00:00"/>
    <d v="2025-12-21T00:00:00"/>
    <s v="Contract"/>
    <s v="MCNEIL CONSUMER HEALTHCARE, INC."/>
    <s v="LAS PIEDRAS"/>
    <s v="Tylenol tablets   pharmaceutical preparations                                                    "/>
    <x v="8"/>
    <n v="2680000"/>
    <n v="0"/>
    <n v="1072000"/>
    <n v="1608000"/>
    <n v="11.04"/>
  </r>
  <r>
    <s v="FIE-2018-2019-IIP-0036"/>
    <s v="2021-000248-A"/>
    <x v="4"/>
    <d v="2020-12-30T00:00:00"/>
    <d v="2025-12-29T00:00:00"/>
    <s v="Contract"/>
    <s v="JOSE T. ROMAN BARCELO, INC."/>
    <s v="LARES"/>
    <s v="Lechuga romana y cilantrillo"/>
    <x v="5"/>
    <n v="225000"/>
    <n v="0"/>
    <n v="28500"/>
    <n v="196500"/>
    <s v="Programa de apoyo a empresarios minoritarios"/>
  </r>
  <r>
    <s v="FIE60-2020-2021-0092"/>
    <s v="2021-000110"/>
    <x v="35"/>
    <d v="2021-01-20T00:00:00"/>
    <d v="2026-01-19T00:00:00"/>
    <s v="Contract"/>
    <s v="TAS UNITED PUERTO RICO LLC"/>
    <s v="GUAYNABO"/>
    <s v="Medical management organization exporting services"/>
    <x v="8"/>
    <n v="200000"/>
    <n v="0"/>
    <n v="32000"/>
    <n v="168000"/>
    <n v="6.85"/>
  </r>
  <r>
    <s v="FIE60-2020-2021-0093"/>
    <s v="2021-000111"/>
    <x v="35"/>
    <d v="2021-01-20T00:00:00"/>
    <d v="2026-01-19T00:00:00"/>
    <s v="Contract"/>
    <s v="TAS UNITED PUERTO RICO LLC"/>
    <s v="GUAYNABO"/>
    <s v="Medical management organization exporting services"/>
    <x v="10"/>
    <n v="200000"/>
    <n v="0"/>
    <n v="159154"/>
    <n v="40846"/>
    <n v="6.85"/>
  </r>
  <r>
    <s v="FIE60-2020-2021-0095"/>
    <s v="2021-000112"/>
    <x v="35"/>
    <d v="2021-01-29T00:00:00"/>
    <d v="2026-01-28T00:00:00"/>
    <s v="Contract"/>
    <s v="CCM HEALTH LLC"/>
    <s v="SAN JUAN"/>
    <s v="Call center"/>
    <x v="8"/>
    <n v="1895000"/>
    <n v="0"/>
    <n v="16500"/>
    <n v="1878500"/>
    <n v="2.87"/>
  </r>
  <r>
    <s v="FIE60-2020-2021-0081"/>
    <s v="2021-000118"/>
    <x v="35"/>
    <d v="2021-02-03T00:00:00"/>
    <d v="2026-02-02T00:00:00"/>
    <s v="Contract"/>
    <s v="LAB INFO, LLC"/>
    <s v="SAN JUAN"/>
    <s v="Desarrollo de software "/>
    <x v="10"/>
    <n v="50000"/>
    <n v="0"/>
    <n v="11697"/>
    <n v="38303"/>
    <n v="2.38"/>
  </r>
  <r>
    <s v="FIE60-2020-2021-0045"/>
    <s v="2021-000124"/>
    <x v="36"/>
    <d v="2021-02-10T00:00:00"/>
    <d v="2024-02-09T00:00:00"/>
    <s v="Cancelled"/>
    <s v="RC MANUFACTURING, LLC"/>
    <s v="SAN JUAN"/>
    <s v="Alimentos"/>
    <x v="8"/>
    <n v="40000"/>
    <n v="22000"/>
    <n v="18000"/>
    <n v="0"/>
    <n v="0.4"/>
  </r>
  <r>
    <s v="FIE60-2020-2021-0046"/>
    <s v="2021-000125"/>
    <x v="36"/>
    <d v="2021-02-10T00:00:00"/>
    <d v="2024-02-09T00:00:00"/>
    <s v="Contract"/>
    <s v="RC MANUFACTURING, LLC"/>
    <s v="SAN JUAN"/>
    <s v="Alimentos"/>
    <x v="10"/>
    <n v="50000"/>
    <n v="0"/>
    <n v="16614.97"/>
    <n v="33385.03"/>
    <n v="0.4"/>
  </r>
  <r>
    <s v="FIE60-2020-2021-0159"/>
    <s v="2021-000188"/>
    <x v="37"/>
    <d v="2021-02-18T00:00:00"/>
    <d v="2026-02-17T00:00:00"/>
    <s v="Contract"/>
    <s v="PRODUCTOS PACHECO INC."/>
    <s v="BAYAMON"/>
    <s v="Manufactura de alimentos"/>
    <x v="10"/>
    <n v="16628.75"/>
    <n v="0"/>
    <n v="7500"/>
    <n v="9128.75"/>
    <n v="16.5"/>
  </r>
  <r>
    <s v="FIE60-2020-2021-0073"/>
    <s v="2021-000190"/>
    <x v="35"/>
    <d v="2021-02-22T00:00:00"/>
    <d v="2025-02-21T00:00:00"/>
    <s v="Contract"/>
    <s v="COMPUTER DISTRIBUTORS INC. (CDI)"/>
    <s v="SAN JUAN"/>
    <s v="Software development"/>
    <x v="8"/>
    <n v="51000"/>
    <n v="0"/>
    <n v="0"/>
    <n v="51000"/>
    <n v="6.38"/>
  </r>
  <r>
    <s v="FIE60-2020-2021-0074"/>
    <s v="2021-000191"/>
    <x v="35"/>
    <d v="2021-02-23T00:00:00"/>
    <d v="2026-02-22T00:00:00"/>
    <s v="Contract"/>
    <s v="COMPUTER DISTRIBUTORS INC. (CDI)"/>
    <s v="SAN JUAN"/>
    <s v="Software development"/>
    <x v="10"/>
    <n v="40000"/>
    <n v="0"/>
    <n v="13515.3"/>
    <n v="26484.7"/>
    <n v="6.38"/>
  </r>
  <r>
    <s v="FIE60-2020-2021-0140"/>
    <s v="2021-000196"/>
    <x v="38"/>
    <d v="2021-03-01T00:00:00"/>
    <d v="2026-02-28T00:00:00"/>
    <s v="Contract"/>
    <s v="Teksol Integration Group"/>
    <s v="MAYAGUEZ"/>
    <s v="Key supplier services"/>
    <x v="10"/>
    <n v="250000"/>
    <n v="0"/>
    <n v="10472.14"/>
    <n v="239527.86"/>
    <n v="3.56"/>
  </r>
  <r>
    <s v="FIE60-2020-2021-0160"/>
    <s v="2021-000204"/>
    <x v="37"/>
    <d v="2021-03-04T00:00:00"/>
    <d v="2026-03-03T00:00:00"/>
    <s v="Contract"/>
    <s v="TOWER CABINET INC."/>
    <s v="JUANA DIAZ"/>
    <s v="Manufactura de muebles"/>
    <x v="8"/>
    <n v="23000"/>
    <n v="0"/>
    <n v="0"/>
    <n v="23000"/>
    <n v="1.02"/>
  </r>
  <r>
    <s v="FIE60-2020-2021-0131"/>
    <s v="2021-000199"/>
    <x v="38"/>
    <d v="2021-03-12T00:00:00"/>
    <d v="2026-03-11T00:00:00"/>
    <s v="Contract"/>
    <s v="FENWAL INTERNATIONAL INC (Proyecto: Centro de Excelencia de Investigación y Desarrollo )"/>
    <s v="SAN GERMAN"/>
    <s v="Dispositivos médicos"/>
    <x v="6"/>
    <n v="6000000"/>
    <n v="0"/>
    <n v="0"/>
    <n v="6000000"/>
    <n v="14.83"/>
  </r>
  <r>
    <s v="FIE60-2020-2021-145"/>
    <s v="2021-000208"/>
    <x v="38"/>
    <d v="2021-03-15T00:00:00"/>
    <d v="2024-03-14T00:00:00"/>
    <s v="Cancelled"/>
    <s v="BEYOND PVC"/>
    <s v="VEGA BAJA"/>
    <s v="Manufactura de muebles en pvc"/>
    <x v="10"/>
    <n v="167000"/>
    <n v="76000"/>
    <n v="91000"/>
    <n v="0"/>
    <n v="2.0699999999999998"/>
  </r>
  <r>
    <s v="FIE60-2020-2021-146"/>
    <s v="2021-000209"/>
    <x v="38"/>
    <d v="2021-03-15T00:00:00"/>
    <d v="2024-03-14T00:00:00"/>
    <s v="Cancelled"/>
    <s v="BEYOND PVC"/>
    <s v="VEGA BAJA"/>
    <s v="Manufactura de muebles en pvc"/>
    <x v="8"/>
    <n v="33000"/>
    <n v="29000"/>
    <n v="4000"/>
    <n v="0"/>
    <s v="207%.  Finanzas canceló el 6-09-2025 porque contrato venció"/>
  </r>
  <r>
    <s v="FIE60-2020-2021-0166"/>
    <s v="2021-000207"/>
    <x v="37"/>
    <d v="2021-03-15T00:00:00"/>
    <d v="2026-03-14T00:00:00"/>
    <s v="Contract"/>
    <s v="PAPELERA PUERTORRIQUEÑA, INC."/>
    <s v="UTUADO"/>
    <s v="Paper bags "/>
    <x v="8"/>
    <n v="30000"/>
    <n v="0"/>
    <n v="23100"/>
    <n v="6900"/>
    <n v="4.2300000000000004"/>
  </r>
  <r>
    <s v="FIE60-2020-2021-0163"/>
    <s v="2021-000217"/>
    <x v="37"/>
    <d v="2021-03-19T00:00:00"/>
    <d v="2026-03-18T00:00:00"/>
    <s v="Contract"/>
    <s v="Global-Tek Manufacturing, Inc."/>
    <s v="CEIBA"/>
    <s v="Manufactura de piezas de metal especializadas"/>
    <x v="8"/>
    <n v="279000"/>
    <n v="0"/>
    <n v="96600"/>
    <n v="182400"/>
    <n v="6.86"/>
  </r>
  <r>
    <s v="FIE60-2020-2021-0165"/>
    <s v="2021-000216"/>
    <x v="37"/>
    <d v="2021-03-19T00:00:00"/>
    <d v="2026-03-18T00:00:00"/>
    <s v="Contract"/>
    <s v="Global-Tek Manufacturing, Inc."/>
    <s v="CEIBA"/>
    <s v="Manufactura de piezas de metal especializadas"/>
    <x v="9"/>
    <n v="196000"/>
    <n v="0"/>
    <n v="183158.57"/>
    <n v="12841.429999999993"/>
    <n v="6.86"/>
  </r>
  <r>
    <s v="FIE60-2020-2021-0121"/>
    <s v="2021-000220"/>
    <x v="38"/>
    <d v="2021-03-26T00:00:00"/>
    <d v="2026-03-25T00:00:00"/>
    <s v="Contract"/>
    <s v="MetalMax Caribe LLC"/>
    <s v="NARANJITO"/>
    <s v="Structural metal products for construction industry"/>
    <x v="10"/>
    <n v="100000"/>
    <n v="0"/>
    <n v="81246.75"/>
    <n v="18753.25"/>
    <n v="0.71"/>
  </r>
  <r>
    <s v="FIE60-2020-2021-0135"/>
    <s v="2021-000221"/>
    <x v="38"/>
    <d v="2021-03-26T00:00:00"/>
    <d v="2026-03-25T00:00:00"/>
    <s v="Contract"/>
    <s v="OLEIN RECOVERY CORPORATION "/>
    <s v="YABUCOA"/>
    <s v="Collection, recycling and re-refining of used motor oil"/>
    <x v="8"/>
    <n v="500000"/>
    <n v="0"/>
    <n v="346500"/>
    <n v="153500"/>
    <n v="18.07"/>
  </r>
  <r>
    <s v="FIE60-2020-2021-0156"/>
    <s v="2021-000231"/>
    <x v="37"/>
    <d v="2021-03-26T00:00:00"/>
    <d v="2027-03-25T00:00:00"/>
    <s v="Contract"/>
    <s v="J TORRES WOODEN PALLETS RECYCLING, INC."/>
    <s v="VEGA ALTA"/>
    <s v="Pallets manufacture"/>
    <x v="8"/>
    <n v="58500"/>
    <n v="0"/>
    <n v="46800"/>
    <n v="11700"/>
    <n v="78.25"/>
  </r>
  <r>
    <s v="FIE60-2020-2021-0157"/>
    <s v="2021-000232"/>
    <x v="37"/>
    <d v="2021-03-26T00:00:00"/>
    <d v="2027-03-25T00:00:00"/>
    <s v="Contract"/>
    <s v="J TORRES WOODEN PALLETS RECYCLING, INC."/>
    <s v="VEGA ALTA"/>
    <s v="Pallets manufacture"/>
    <x v="10"/>
    <n v="50000"/>
    <n v="0"/>
    <n v="31910.5"/>
    <n v="18089.5"/>
    <n v="78.25"/>
  </r>
  <r>
    <s v="FIE60-2020-2021-0132"/>
    <s v="2021-000233"/>
    <x v="38"/>
    <d v="2021-04-05T00:00:00"/>
    <d v="2026-04-04T00:00:00"/>
    <s v="Contract"/>
    <s v="TRAFON GROUP,INC. (TRAFON GROUP, INC.)"/>
    <s v="SAN JUAN"/>
    <s v="Manufactura de alimentos"/>
    <x v="8"/>
    <n v="144000"/>
    <n v="0"/>
    <n v="74000"/>
    <n v="70000"/>
    <n v="4.16"/>
  </r>
  <r>
    <s v="FIE60-2020-2021-0133"/>
    <s v="2021-000234"/>
    <x v="38"/>
    <d v="2021-04-06T00:00:00"/>
    <d v="2026-04-05T00:00:00"/>
    <s v="Contract"/>
    <s v="TRAFON GROUP,INC. (TRAFON GROUP, INC.)"/>
    <s v="SAN JUAN"/>
    <s v="Manufactura de alimentos"/>
    <x v="10"/>
    <n v="280000"/>
    <n v="0"/>
    <n v="196062.94"/>
    <n v="83937.06"/>
    <n v="4.16"/>
  </r>
  <r>
    <s v="FIE60-2020-2021-0056"/>
    <s v="2021-000246"/>
    <x v="33"/>
    <d v="2021-04-08T00:00:00"/>
    <d v="2026-04-07T00:00:00"/>
    <s v="Contract"/>
    <s v="PRENT PUERTO RICO, LLC"/>
    <s v="YAUCO"/>
    <s v="Plastic trays by thermoforming"/>
    <x v="8"/>
    <n v="178000"/>
    <n v="0"/>
    <n v="0"/>
    <n v="178000"/>
    <n v="0.31"/>
  </r>
  <r>
    <s v="FIE60-2020-2021-0055"/>
    <s v="2021-000248"/>
    <x v="33"/>
    <d v="2021-04-08T00:00:00"/>
    <d v="2026-04-07T00:00:00"/>
    <s v="Contract"/>
    <s v="PRENT PUERTO RICO, LLC"/>
    <s v="YAUCO"/>
    <s v="Plastic trays by thermoforming"/>
    <x v="9"/>
    <n v="200000"/>
    <n v="0"/>
    <n v="200000"/>
    <n v="0"/>
    <n v="0.31"/>
  </r>
  <r>
    <s v="FIE60-2020-2021-0119"/>
    <s v="2021-000258"/>
    <x v="38"/>
    <d v="2021-04-08T00:00:00"/>
    <d v="2026-04-08T00:00:00"/>
    <s v="Contract"/>
    <s v="HALCON BAKERS, INC."/>
    <s v="CAGUAS"/>
    <s v="Manufactura de alimentos"/>
    <x v="10"/>
    <n v="33705"/>
    <n v="0"/>
    <n v="24902"/>
    <n v="8803"/>
    <n v="4.43"/>
  </r>
  <r>
    <s v="FIE60-2020-2021-0116"/>
    <s v="2021-000255"/>
    <x v="38"/>
    <d v="2021-04-13T00:00:00"/>
    <d v="2026-04-12T00:00:00"/>
    <s v="Contract"/>
    <s v="GASCO INDUSTRIAL CORP. (GASCO INDUSTRIAL,CORP)"/>
    <s v="GURABO"/>
    <s v="Hand sanitizer and detergents"/>
    <x v="8"/>
    <n v="26000"/>
    <n v="0"/>
    <n v="18000"/>
    <n v="8000"/>
    <n v="6.86"/>
  </r>
  <r>
    <s v="FIE60-2019-2020-0019"/>
    <s v="2021-000251"/>
    <x v="39"/>
    <d v="2021-04-15T00:00:00"/>
    <d v="2026-04-14T00:00:00"/>
    <s v="Contract"/>
    <s v="MDF INSTRUMENTS CRAFTECH LLC"/>
    <s v="DORADO"/>
    <s v="Manufactura  de instrumentos quirúrgicos y médicos"/>
    <x v="8"/>
    <n v="36000"/>
    <n v="0"/>
    <n v="28800"/>
    <n v="7200"/>
    <n v="5.8"/>
  </r>
  <r>
    <s v="FIE60-2019-2020-0018"/>
    <s v="2021-000252"/>
    <x v="39"/>
    <d v="2021-04-15T00:00:00"/>
    <d v="2026-04-14T00:00:00"/>
    <s v="Contract"/>
    <s v="MDF INSTRUMENTS CRAFTECH LLC"/>
    <s v="DORADO"/>
    <s v="Manufactura  de instrumentos quirúrgicos y médicos"/>
    <x v="10"/>
    <n v="200000"/>
    <n v="0"/>
    <n v="140541.70000000001"/>
    <n v="59458.299999999988"/>
    <n v="5.8"/>
  </r>
  <r>
    <s v="FIE-2018-2019-IIP-0030"/>
    <s v="2021-000249"/>
    <x v="2"/>
    <d v="2021-04-20T00:00:00"/>
    <d v="2024-04-19T00:00:00"/>
    <s v="Contract"/>
    <s v="SUNNE LABS CORPORATION"/>
    <s v="MAYAGÜEZ"/>
    <s v="Diseño y manufactura de productos que ahorran/producen energía"/>
    <x v="11"/>
    <n v="100000"/>
    <n v="0"/>
    <n v="50869.67"/>
    <n v="49130.33"/>
    <s v="Programa de apoyo a empresarios minoritarios"/>
  </r>
  <r>
    <s v="FIE60-2020-2021-0199"/>
    <s v="2021-000264"/>
    <x v="40"/>
    <d v="2021-04-27T00:00:00"/>
    <d v="2026-04-26T00:00:00"/>
    <s v="Contract"/>
    <s v="LOCKHEED MARTIN GLOBAL, INC."/>
    <s v="AGUADILLA"/>
    <s v="Servicio de consultoría administrativa. Apoyo técnico de informática y desarrollo de software"/>
    <x v="12"/>
    <n v="325000"/>
    <n v="0"/>
    <n v="278000"/>
    <n v="47000"/>
    <n v="11.59"/>
  </r>
  <r>
    <s v="FIE60-2020-2021-0127"/>
    <s v="2021-000290"/>
    <x v="38"/>
    <d v="2021-04-27T00:00:00"/>
    <d v="2024-04-26T00:00:00"/>
    <s v="Contract"/>
    <s v="VALERO INC."/>
    <s v="TOA BAJA"/>
    <s v="Shopping carts"/>
    <x v="8"/>
    <n v="12500"/>
    <n v="0"/>
    <n v="6500"/>
    <n v="6000"/>
    <n v="3.16"/>
  </r>
  <r>
    <s v="FIE60-2020-2021-0153"/>
    <s v="2021-000295"/>
    <x v="37"/>
    <d v="2021-05-14T00:00:00"/>
    <d v="2026-05-13T00:00:00"/>
    <s v="Contract"/>
    <s v="DANITO ALUMINUM ,INC"/>
    <s v="COAMO"/>
    <s v="Aluminum doors and windows manufacturing"/>
    <x v="10"/>
    <n v="45000"/>
    <n v="0"/>
    <n v="34905"/>
    <n v="10095"/>
    <n v="2.4"/>
  </r>
  <r>
    <s v="FIE60-2020-2021-0123"/>
    <s v="2021-000312"/>
    <x v="38"/>
    <d v="2021-05-21T00:00:00"/>
    <d v="2025-05-20T00:00:00"/>
    <s v="Contract"/>
    <s v="VISION WORKS OF PUERTO RICO INC"/>
    <s v="HUMACAO"/>
    <s v="Lents manufacture"/>
    <x v="8"/>
    <n v="10000"/>
    <n v="0"/>
    <n v="9000"/>
    <n v="1000"/>
    <n v="26.3"/>
  </r>
  <r>
    <s v="FIE60-2020-2021-0143"/>
    <s v="2021-000336-A"/>
    <x v="38"/>
    <d v="2021-06-14T00:00:00"/>
    <d v="2026-06-13T00:00:00"/>
    <s v="Contract"/>
    <s v="PATHEON PUERTO RICO, Inc (Proyecto Synjardy)"/>
    <s v="MANATI"/>
    <s v="Pharmaceutical products"/>
    <x v="8"/>
    <n v="545000"/>
    <n v="0"/>
    <n v="423000"/>
    <n v="122000"/>
    <n v="10.029999999999999"/>
  </r>
  <r>
    <s v="FIE60-2022-2023-0100"/>
    <s v="2023-002142"/>
    <x v="41"/>
    <d v="2021-07-01T00:00:00"/>
    <d v="2026-03-28T00:00:00"/>
    <s v="Contract"/>
    <s v="DUI INCORPORADO D/B/A IMAGEFIRST HEALTHCARE LAUNDRY SPECIALISTS"/>
    <s v="GUAYAMA"/>
    <s v="Lavanderia especializada para farmaceuticas, oficinas medicas y laboratorios y hospitales"/>
    <x v="8"/>
    <n v="27000"/>
    <n v="0"/>
    <n v="16000"/>
    <n v="11000"/>
    <n v="1.2"/>
  </r>
  <r>
    <s v="FIE60-2020-2021-0236"/>
    <s v="2022-000019"/>
    <x v="42"/>
    <d v="2021-07-14T00:00:00"/>
    <d v="2026-07-13T00:00:00"/>
    <s v="Contract"/>
    <s v="DULCES LA FE, INC."/>
    <s v="CAGUAS"/>
    <s v="Alimentos"/>
    <x v="8"/>
    <n v="31000"/>
    <n v="0"/>
    <n v="13600"/>
    <n v="17400"/>
    <n v="5.92"/>
  </r>
  <r>
    <s v="FIE60-2020-2021-0237"/>
    <s v="2022-000020"/>
    <x v="42"/>
    <d v="2021-07-14T00:00:00"/>
    <d v="2026-07-13T00:00:00"/>
    <s v="Contract"/>
    <s v="DULCES LA FE, INC."/>
    <s v="CAGUAS"/>
    <s v="Alimentos"/>
    <x v="10"/>
    <n v="14181"/>
    <n v="0"/>
    <n v="14181"/>
    <n v="0"/>
    <n v="5.92"/>
  </r>
  <r>
    <s v="FIE60-2020-2021-0250"/>
    <s v="2022-000034"/>
    <x v="43"/>
    <d v="2021-07-15T00:00:00"/>
    <d v="2026-07-14T00:00:00"/>
    <s v="Contract"/>
    <s v="WORLD SPIRITS, LLC"/>
    <s v="TOA BAJA"/>
    <s v="Beverage alcoholic manufacturing"/>
    <x v="8"/>
    <n v="9000"/>
    <n v="0"/>
    <n v="0"/>
    <n v="9000"/>
    <n v="11.09"/>
  </r>
  <r>
    <s v="FIE60-2020-2021-0251"/>
    <s v="2022-000035"/>
    <x v="43"/>
    <d v="2021-07-15T00:00:00"/>
    <d v="2026-07-14T00:00:00"/>
    <s v="Contract"/>
    <s v="WORLD SPIRITS, LLC"/>
    <s v="TOA BAJA"/>
    <s v="Beverage alcoholic manufacturing"/>
    <x v="10"/>
    <n v="247817"/>
    <n v="0"/>
    <n v="207854.39"/>
    <n v="39962.609999999986"/>
    <n v="11.09"/>
  </r>
  <r>
    <s v="FIE60-2019-2020-0008"/>
    <s v="2022-000023"/>
    <x v="44"/>
    <d v="2021-07-20T00:00:00"/>
    <d v="2026-07-19T00:00:00"/>
    <s v="Cancelled"/>
    <s v="YEMI,LLC"/>
    <s v="PONCE"/>
    <s v="Elaboración de productos de repostería"/>
    <x v="10"/>
    <n v="20000"/>
    <n v="7683.78"/>
    <n v="12316.220000000001"/>
    <n v="0"/>
    <s v="Finanzas solicita cancelar balance al 4-10-2025  "/>
  </r>
  <r>
    <s v="FIE60-2018-2019-0002"/>
    <s v="2022-000054"/>
    <x v="5"/>
    <d v="2021-08-12T00:00:00"/>
    <d v="2024-08-11T00:00:00"/>
    <s v="Cancelled"/>
    <s v="PINNACLE PARTNERS LLC"/>
    <s v="SAN JUAN"/>
    <s v="Servicios de planificación financiera y centro de llamadas"/>
    <x v="8"/>
    <n v="162500"/>
    <n v="162500"/>
    <n v="0"/>
    <n v="0"/>
    <s v="237%.  Finanzas canceló 6-9-2025 contrato vencido."/>
  </r>
  <r>
    <s v="FIE60-2018-2019-0003"/>
    <s v="2022-000055"/>
    <x v="5"/>
    <d v="2021-08-12T00:00:00"/>
    <d v="2024-08-11T00:00:00"/>
    <s v="Cancelled"/>
    <s v="PINNACLE PARTNERS LLC"/>
    <s v="SAN JUAN"/>
    <s v="Servicios de planificación financiera y centro de llamadas"/>
    <x v="10"/>
    <n v="100000"/>
    <n v="100000"/>
    <n v="0"/>
    <n v="0"/>
    <s v="237%.  Finanzas canceló 6-9-2025 contrato vencido."/>
  </r>
  <r>
    <s v="FIE60-2020-2021-0235"/>
    <s v="2022-000059"/>
    <x v="42"/>
    <d v="2021-08-13T00:00:00"/>
    <d v="2026-08-12T00:00:00"/>
    <s v="Contract"/>
    <s v="B. BAKERY"/>
    <s v="SAN JUAN"/>
    <s v="Alimentos"/>
    <x v="10"/>
    <n v="42935"/>
    <n v="0"/>
    <n v="38275"/>
    <n v="4660"/>
    <n v="1.1399999999999999"/>
  </r>
  <r>
    <s v="FIE60-2020-2021-0215"/>
    <s v="2022-000064"/>
    <x v="45"/>
    <d v="2021-08-18T00:00:00"/>
    <d v="2024-08-17T00:00:00"/>
    <s v="Cancelled"/>
    <s v="JDK GROUP DBA JUGOS DEL KAMPO"/>
    <s v="ADJUNTAS"/>
    <s v="Fondos del programa de incentivos industriales ley 188-1942 y ley 203-1997"/>
    <x v="8"/>
    <n v="8000"/>
    <n v="8000"/>
    <n v="0"/>
    <n v="0"/>
    <s v="518%.  Finanzas canceló el 6-9-2025 contrato vencido."/>
  </r>
  <r>
    <s v="FIE60-2020-2021-0216"/>
    <s v="2022-000065"/>
    <x v="45"/>
    <d v="2021-08-18T00:00:00"/>
    <d v="2026-08-17T00:00:00"/>
    <s v="Contract"/>
    <s v="JDK GROUP DBA JUGOS DEL KAMPO"/>
    <s v="ADJUNTAS"/>
    <s v="Fondos del programa de incentivos industriales ley 188-1942 y ley 203-1997"/>
    <x v="10"/>
    <n v="37500"/>
    <n v="0"/>
    <n v="32702.67"/>
    <n v="4797.3300000000017"/>
    <n v="5.18"/>
  </r>
  <r>
    <s v="FIE-2018-2019-IIP-0036"/>
    <s v="2022-000085"/>
    <x v="4"/>
    <d v="2021-08-30T00:00:00"/>
    <d v="2026-08-29T00:00:00"/>
    <s v="Contract"/>
    <s v="HACIENDA TIO CANO, INC."/>
    <s v="ARECIBO"/>
    <s v="Hidroponico para lechuga"/>
    <x v="5"/>
    <n v="276000"/>
    <n v="0"/>
    <n v="0"/>
    <n v="276000"/>
    <s v="Programa de apoyo a empresarios minoritarios"/>
  </r>
  <r>
    <s v="FIE60-2020-2021-0259"/>
    <s v="2022-000083"/>
    <x v="46"/>
    <d v="2021-08-30T00:00:00"/>
    <d v="2026-08-29T00:00:00"/>
    <s v="Contract"/>
    <s v="PROCESADORA LA ESPERANZA"/>
    <s v="BARRANQUITAS"/>
    <s v="Alimentos"/>
    <x v="8"/>
    <n v="16500"/>
    <n v="0"/>
    <n v="9000"/>
    <n v="7500"/>
    <n v="3.57"/>
  </r>
  <r>
    <s v="FIE60-2020-2021-0260"/>
    <s v="2022-000084"/>
    <x v="46"/>
    <d v="2021-08-30T00:00:00"/>
    <d v="2026-08-29T00:00:00"/>
    <s v="Contract"/>
    <s v="PROCESADORA LA ESPERANZA"/>
    <s v="BARRANQUITAS"/>
    <s v="Alimentos"/>
    <x v="10"/>
    <n v="58750"/>
    <n v="0"/>
    <n v="12050"/>
    <n v="46700"/>
    <n v="3.57"/>
  </r>
  <r>
    <s v="FIE60-2020-2021-0261"/>
    <s v="2022-000119"/>
    <x v="46"/>
    <d v="2021-09-03T00:00:00"/>
    <d v="2026-09-02T00:00:00"/>
    <s v="Contract"/>
    <s v="PRODUCTOS GILMAR CORP."/>
    <s v="AIBONITO"/>
    <s v="Alimentos"/>
    <x v="8"/>
    <n v="12000"/>
    <n v="0"/>
    <n v="10800"/>
    <n v="1200"/>
    <n v="7.35"/>
  </r>
  <r>
    <s v="FIE-2018-2019-IIP-0030"/>
    <s v="2022-000131"/>
    <x v="2"/>
    <d v="2021-09-13T00:00:00"/>
    <d v="2024-09-12T00:00:00"/>
    <s v="Contract"/>
    <s v="MH TECHNOLOGY GROUP, LLC"/>
    <s v="SAN JUAN"/>
    <s v="Sistema de control de acceso que opera a traves de aplicacion llamada keybolt"/>
    <x v="11"/>
    <n v="50000"/>
    <n v="0"/>
    <n v="25000"/>
    <n v="25000"/>
    <s v="Programa de apoyo a empresarios minoritarios"/>
  </r>
  <r>
    <s v="FIE60-2020-2021-0178"/>
    <s v="2022-000150"/>
    <x v="37"/>
    <d v="2021-09-15T00:00:00"/>
    <d v="2026-09-14T00:00:00"/>
    <s v="Contract"/>
    <s v="CytoInmune Therapeutics Puerto Rico LLC"/>
    <s v="TOA BAJA"/>
    <s v="Biopharmaceutical products manufacturing"/>
    <x v="8"/>
    <n v="500000"/>
    <n v="0"/>
    <n v="58000"/>
    <n v="442000"/>
    <n v="1.94"/>
  </r>
  <r>
    <s v="FIE60-2020-2021-0177"/>
    <s v="2022-000151"/>
    <x v="37"/>
    <d v="2021-09-15T00:00:00"/>
    <d v="2026-09-14T00:00:00"/>
    <s v="Contract"/>
    <s v="CytoInmune Therapeutics Puerto Rico LLC"/>
    <s v="TOA BAJA"/>
    <s v="Biopharmaceutical products manufacturing"/>
    <x v="10"/>
    <n v="7500000"/>
    <n v="0"/>
    <n v="5983113.5099999998"/>
    <n v="1516886.4900000002"/>
    <n v="1.94"/>
  </r>
  <r>
    <s v="FIE60-2020-2021-0238"/>
    <s v="2022-000160"/>
    <x v="47"/>
    <d v="2021-09-29T00:00:00"/>
    <d v="2026-09-28T00:00:00"/>
    <s v="Contract"/>
    <s v="DNG, INC."/>
    <s v="SAN SEBASTIAN"/>
    <s v="Muebles"/>
    <x v="8"/>
    <n v="32000"/>
    <n v="0"/>
    <n v="25600"/>
    <n v="6400"/>
    <n v="0.76"/>
  </r>
  <r>
    <s v="FIE60-2020-2021-0244"/>
    <s v="2022-000171"/>
    <x v="43"/>
    <d v="2021-10-05T00:00:00"/>
    <d v="2026-10-04T00:00:00"/>
    <s v="Contract"/>
    <s v="M M MANUFACTURING, LLC"/>
    <s v="LAJAS"/>
    <s v="Costura militar"/>
    <x v="9"/>
    <n v="316081"/>
    <n v="0"/>
    <n v="0"/>
    <n v="316081"/>
    <n v="0.77"/>
  </r>
  <r>
    <s v="FIE60-2021-2022-0024"/>
    <s v="2022-000185"/>
    <x v="48"/>
    <d v="2021-10-14T00:00:00"/>
    <d v="2023-04-13T00:00:00"/>
    <s v="Cancelled (Balance pending)"/>
    <s v="PRIME AIR CORP."/>
    <s v="CAROLINA"/>
    <s v="Servicios de transportación aérea, marítima, distribución y logística doméstica e internacional"/>
    <x v="13"/>
    <n v="50000"/>
    <n v="14551.81"/>
    <n v="12767.92"/>
    <n v="22680.270000000004"/>
    <s v="Programa de apoyo a empresarios minoritarios"/>
  </r>
  <r>
    <s v="FIE60-2020-2021-0109"/>
    <s v="2022-000189"/>
    <x v="38"/>
    <d v="2021-10-19T00:00:00"/>
    <d v="2024-10-18T00:00:00"/>
    <s v="Contract"/>
    <s v="DESPIECES LA CEBA LLC "/>
    <s v="CATAÑO"/>
    <s v="Manufactura de alimentos"/>
    <x v="8"/>
    <n v="15000"/>
    <n v="0"/>
    <n v="2500"/>
    <n v="12500"/>
    <n v="0.64"/>
  </r>
  <r>
    <s v="FIE60-2020-2021-0110"/>
    <s v="2022-000190"/>
    <x v="38"/>
    <d v="2021-10-19T00:00:00"/>
    <d v="2024-10-18T00:00:00"/>
    <s v="Contract"/>
    <s v="DESPIECES LA CEBA LLC "/>
    <s v="CATAÑO"/>
    <s v="Manufactura de alimentos"/>
    <x v="10"/>
    <n v="50000"/>
    <n v="0"/>
    <n v="50000"/>
    <n v="0"/>
    <n v="0.64"/>
  </r>
  <r>
    <s v="FIE60-2020-2021-0111"/>
    <s v="2022-000191"/>
    <x v="38"/>
    <d v="2021-10-19T00:00:00"/>
    <d v="2024-10-18T00:00:00"/>
    <s v="Contract"/>
    <s v="DESPIECES LA CEBA LLC "/>
    <s v="CATAÑO"/>
    <s v="Manufactura de alimentos"/>
    <x v="9"/>
    <n v="30000"/>
    <n v="0"/>
    <n v="30000"/>
    <n v="0"/>
    <n v="0.64"/>
  </r>
  <r>
    <s v="FIE60-2020-2021-0274"/>
    <s v="2022-000211"/>
    <x v="49"/>
    <d v="2021-10-29T00:00:00"/>
    <d v="2026-10-28T00:00:00"/>
    <s v="Contract"/>
    <s v="WAWI"/>
    <s v="CAROLINA"/>
    <s v="Alimentos"/>
    <x v="8"/>
    <n v="30000"/>
    <n v="0"/>
    <n v="0"/>
    <n v="30000"/>
    <n v="1.1599999999999999"/>
  </r>
  <r>
    <s v="FIE60-2020-2021-0275"/>
    <s v="2022-000212"/>
    <x v="49"/>
    <d v="2021-10-29T00:00:00"/>
    <d v="2026-10-28T00:00:00"/>
    <s v="Contract"/>
    <s v="WAWI"/>
    <s v="CAROLINA"/>
    <s v="Alimentos"/>
    <x v="10"/>
    <n v="220000"/>
    <n v="0"/>
    <n v="0"/>
    <n v="220000"/>
    <n v="1.1599999999999999"/>
  </r>
  <r>
    <s v="FIE60-2020-2021-0276"/>
    <s v="2022-000213"/>
    <x v="49"/>
    <d v="2021-10-29T00:00:00"/>
    <d v="2024-10-28T00:00:00"/>
    <s v="Cancelled"/>
    <s v="WAWI"/>
    <s v="CAROLINA"/>
    <s v="Alimentos"/>
    <x v="9"/>
    <n v="100000"/>
    <n v="100000"/>
    <n v="0"/>
    <n v="0"/>
    <s v="116%.  Finanzas canceló el 6-9-2025.  Contrato venció."/>
  </r>
  <r>
    <s v="FIE60-2021-2022-0001"/>
    <s v="2022-000208"/>
    <x v="50"/>
    <d v="2021-11-01T00:00:00"/>
    <d v="2024-10-31T00:00:00"/>
    <s v="Contract"/>
    <s v="TALLER DE RECICLAJE DE METALES INC."/>
    <s v="VEGA BAJA"/>
    <s v="Reciclaje de metales"/>
    <x v="12"/>
    <n v="30000"/>
    <n v="0"/>
    <n v="16666.5"/>
    <n v="13333.5"/>
    <n v="5.01"/>
  </r>
  <r>
    <s v="FIE60-2021-2022-0024"/>
    <s v="2022-000210"/>
    <x v="48"/>
    <d v="2021-11-01T00:00:00"/>
    <d v="2023-05-31T00:00:00"/>
    <s v="Cancelled (Balance pending)"/>
    <s v="TELECONTACTO-TELECONTACT EXPORT, INC."/>
    <s v="SAN JUAN"/>
    <s v="&quot;call center, business process outsourcing, direct marketing, telemarketing&quot;, así como servicios de consultoría a mercados fuera de pr."/>
    <x v="13"/>
    <n v="50000"/>
    <n v="43906.25"/>
    <n v="4843.75"/>
    <n v="1250"/>
    <s v="Programa de apoyo a empresarios minoritarios"/>
  </r>
  <r>
    <s v="FIE60-2020-2021-0248"/>
    <s v="2022-000217"/>
    <x v="43"/>
    <d v="2021-11-05T00:00:00"/>
    <d v="2024-11-04T00:00:00"/>
    <s v="Contract"/>
    <s v="OMEGA &amp; DELTA CO, INC."/>
    <s v="CAROLINA"/>
    <s v="Manufactura personal care"/>
    <x v="8"/>
    <n v="104000"/>
    <n v="0"/>
    <n v="62400"/>
    <n v="41600"/>
    <n v="0.73"/>
  </r>
  <r>
    <s v="FIE60-2020-2021-0249"/>
    <s v="2022-000218"/>
    <x v="43"/>
    <d v="2021-11-05T00:00:00"/>
    <d v="2026-11-04T00:00:00"/>
    <s v="Contract"/>
    <s v="OMEGA &amp; DELTA CO, INC."/>
    <s v="CAROLINA"/>
    <s v="Manufactura personal care"/>
    <x v="10"/>
    <n v="600000"/>
    <n v="0"/>
    <n v="287969.75"/>
    <n v="312030.25"/>
    <n v="0.73"/>
  </r>
  <r>
    <s v="FIE60-2021-2022-0039"/>
    <s v="2022-000216"/>
    <x v="51"/>
    <d v="2021-11-05T00:00:00"/>
    <d v="2026-11-04T00:00:00"/>
    <s v="Contract"/>
    <s v="COPAN INDUSTRIES INC"/>
    <s v="AGUADILLA"/>
    <s v="Manufactura de dispositivos de recolección, transporte preanalítico para dispositivos médicos "/>
    <x v="10"/>
    <n v="22000000"/>
    <n v="0"/>
    <n v="15857660.879999999"/>
    <n v="6142339.120000001"/>
    <n v="0.68"/>
  </r>
  <r>
    <s v="FIE60-2021-2022-0040"/>
    <s v="2022-000215"/>
    <x v="51"/>
    <d v="2021-11-05T00:00:00"/>
    <d v="2026-11-04T00:00:00"/>
    <s v="Contract"/>
    <s v="COPAN INDUSTRIES INC"/>
    <s v="AGUADILLA"/>
    <s v="Manufactura de dispositivos de recolección, transporte preanalítico para dispositivos médicos "/>
    <x v="12"/>
    <n v="1008000"/>
    <n v="0"/>
    <n v="0"/>
    <n v="1008000"/>
    <n v="0.68"/>
  </r>
  <r>
    <s v="FIE60-2020-2021-0154"/>
    <s v="2022-000228"/>
    <x v="37"/>
    <d v="2021-11-17T00:00:00"/>
    <d v="2026-11-16T00:00:00"/>
    <s v="Contract"/>
    <s v="DP ENTERPRISE CORP"/>
    <s v="BAYAMON"/>
    <s v="Manufactura de alimentos"/>
    <x v="8"/>
    <n v="18000"/>
    <n v="0"/>
    <n v="0"/>
    <n v="18000"/>
    <n v="52.41"/>
  </r>
  <r>
    <s v="FIE60-2020-2021-0155"/>
    <s v="2022-000229"/>
    <x v="37"/>
    <d v="2021-11-17T00:00:00"/>
    <d v="2026-11-16T00:00:00"/>
    <s v="Contract"/>
    <s v="DP ENTERPRISE CORP"/>
    <s v="BAYAMON"/>
    <s v="Manufactura de alimentos"/>
    <x v="10"/>
    <n v="42187.5"/>
    <n v="0"/>
    <n v="0"/>
    <n v="42187.5"/>
    <n v="52.41"/>
  </r>
  <r>
    <s v="FIE60-2021-2022-0062"/>
    <s v="2022-000247"/>
    <x v="52"/>
    <d v="2021-12-02T00:00:00"/>
    <d v="2026-12-02T00:00:00"/>
    <s v="Contract"/>
    <s v="ONCE AND FOR ALL TIRES LLC"/>
    <s v="YABUCOA"/>
    <s v="Reciclaje de neumáticos y separación de sus componentes  para procesarlos y convertirlos en materias primas para la venta y manufactura de productos relacionados con el material reciclado"/>
    <x v="10"/>
    <n v="4872500"/>
    <n v="0"/>
    <n v="4688518.75"/>
    <n v="183981.25"/>
    <n v="0"/>
  </r>
  <r>
    <s v="FIE60-2021-2022-0019"/>
    <s v="2022-000254"/>
    <x v="50"/>
    <d v="2021-12-03T00:00:00"/>
    <d v="2026-12-02T00:00:00"/>
    <s v="Cancelled"/>
    <s v="7 EAGLE GROUP CARIBE LLC"/>
    <s v="HUMACAO"/>
    <s v="Centro de operaciones seguras (soc) "/>
    <x v="12"/>
    <n v="2000000"/>
    <n v="2000000"/>
    <n v="0"/>
    <n v="0"/>
    <n v="0.9"/>
  </r>
  <r>
    <s v="FIE60-2021-2022-0020"/>
    <s v="2022-000256"/>
    <x v="50"/>
    <d v="2021-12-03T00:00:00"/>
    <d v="2026-12-02T00:00:00"/>
    <s v="Cancelled"/>
    <s v="7 EAGLE GROUP CARIBE LLC"/>
    <s v="HUMACAO"/>
    <s v="Centro de operaciones seguras (soc) "/>
    <x v="12"/>
    <n v="1200000"/>
    <n v="1200000"/>
    <n v="0"/>
    <n v="0"/>
    <n v="0.9"/>
  </r>
  <r>
    <s v="FIE60-2021-2022-0021"/>
    <s v="2022-000255"/>
    <x v="50"/>
    <d v="2021-12-03T00:00:00"/>
    <d v="2026-12-02T00:00:00"/>
    <s v="Cancelled"/>
    <s v="7 EAGLE GROUP CARIBE LLC"/>
    <s v="HUMACAO"/>
    <s v="Centro de operaciones seguras (soc) "/>
    <x v="10"/>
    <n v="400000"/>
    <n v="400000"/>
    <n v="0"/>
    <n v="0"/>
    <n v="0.9"/>
  </r>
  <r>
    <s v="FIE60-2021-2022-0022"/>
    <s v="2022-000257"/>
    <x v="50"/>
    <d v="2021-12-03T00:00:00"/>
    <d v="2026-12-02T00:00:00"/>
    <s v="Cancelled"/>
    <s v="7 EAGLE GROUP CARIBE LLC"/>
    <s v="HUMACAO"/>
    <s v="Centro de operaciones seguras (soc) "/>
    <x v="12"/>
    <n v="3000000"/>
    <n v="3000000"/>
    <n v="0"/>
    <n v="0"/>
    <n v="0.9"/>
  </r>
  <r>
    <s v="FIE60-2021-2022-0012"/>
    <s v="2022-000248"/>
    <x v="50"/>
    <d v="2021-12-03T00:00:00"/>
    <d v="2026-12-02T00:00:00"/>
    <s v="Contract"/>
    <s v="MHL CUSTOM, INC. (MHL)"/>
    <s v="AGUADILLA"/>
    <s v="Manufactura de tablas de surf"/>
    <x v="12"/>
    <n v="70400"/>
    <n v="0"/>
    <n v="0"/>
    <n v="70400"/>
    <n v="7.34"/>
  </r>
  <r>
    <s v="FIE60-2021-2022-0013"/>
    <s v="2022-000249"/>
    <x v="50"/>
    <d v="2021-12-03T00:00:00"/>
    <d v="2026-12-02T00:00:00"/>
    <s v="Contract"/>
    <s v="MHL CUSTOM, INC. (MHL)"/>
    <s v="AGUADILLA"/>
    <s v="Manufactura de tablas de surf"/>
    <x v="10"/>
    <n v="411639"/>
    <n v="0"/>
    <n v="109600"/>
    <n v="302039"/>
    <n v="7.34"/>
  </r>
  <r>
    <s v="FIE60-2021-2022-0014"/>
    <s v="2022-000250"/>
    <x v="50"/>
    <d v="2021-12-03T00:00:00"/>
    <d v="2026-12-02T00:00:00"/>
    <s v="Contract"/>
    <s v="MHL CUSTOM, INC. (MHL)"/>
    <s v="AGUADILLA"/>
    <s v="Manufactura de tablas de surf"/>
    <x v="9"/>
    <n v="48022"/>
    <n v="0"/>
    <n v="0"/>
    <n v="48022"/>
    <n v="7.34"/>
  </r>
  <r>
    <s v="FIE60-2021-2022-0061"/>
    <s v="2022-000246"/>
    <x v="52"/>
    <d v="2021-12-03T00:00:00"/>
    <d v="2026-12-02T00:00:00"/>
    <s v="Contract"/>
    <s v="ONCE AND FOR ALL TIRES LLC"/>
    <s v="YABUCOA"/>
    <s v="Reciclaje de neumáticos y separación de sus componentes  para procesarlos y convertirlos en materias primas para la venta y manufactura de productos relacionados con el material reciclado"/>
    <x v="12"/>
    <n v="127500"/>
    <n v="0"/>
    <n v="0"/>
    <n v="127500"/>
    <n v="0"/>
  </r>
  <r>
    <s v="FIE60-2021-2022-0041"/>
    <s v="2022-000285"/>
    <x v="53"/>
    <d v="2022-01-12T00:00:00"/>
    <d v="2025-01-11T00:00:00"/>
    <s v="Contract"/>
    <s v="DE PUEBLO LLC"/>
    <s v="SAN JUAN"/>
    <s v="Manufactura de impresos"/>
    <x v="8"/>
    <n v="7000"/>
    <n v="0"/>
    <n v="0"/>
    <n v="7000"/>
    <n v="2"/>
  </r>
  <r>
    <s v="FIE60-2021-2022-0042"/>
    <s v="2022-000286"/>
    <x v="53"/>
    <d v="2022-01-12T00:00:00"/>
    <d v="2025-01-11T00:00:00"/>
    <s v="Contract"/>
    <s v="DE PUEBLO LLC"/>
    <s v="SAN JUAN"/>
    <s v="Manufactura de impresos"/>
    <x v="10"/>
    <n v="38005"/>
    <n v="0"/>
    <n v="0"/>
    <n v="38005"/>
    <n v="2"/>
  </r>
  <r>
    <s v="FIE60-2021-2022-0065"/>
    <s v="2022-000293"/>
    <x v="52"/>
    <d v="2022-01-13T00:00:00"/>
    <d v="2027-01-12T00:00:00"/>
    <s v="Cancelled"/>
    <s v="SAN JUAN ARTISAN DISTILLERS, LLC"/>
    <s v="VEGA ALTA"/>
    <s v="Manufactura de ron artesanal"/>
    <x v="8"/>
    <n v="13000"/>
    <n v="13000"/>
    <n v="0"/>
    <n v="0"/>
    <n v="5.4"/>
  </r>
  <r>
    <s v="FIE60-2021-2022-0066"/>
    <s v="2022-000294"/>
    <x v="52"/>
    <d v="2022-01-13T00:00:00"/>
    <d v="2027-01-12T00:00:00"/>
    <s v="Contract"/>
    <s v="SAN JUAN ARTISAN DISTILLERS, LLC"/>
    <s v="VEGA ALTA"/>
    <s v="Manufactura de ron artesanal"/>
    <x v="10"/>
    <n v="856922"/>
    <n v="0"/>
    <n v="76208.25"/>
    <n v="780713.75"/>
    <n v="5.4"/>
  </r>
  <r>
    <s v="FIE60-2020-2021-0268"/>
    <s v="2022-000200-B"/>
    <x v="43"/>
    <d v="2022-01-18T00:00:00"/>
    <d v="2022-06-30T00:00:00"/>
    <s v="Cancelled"/>
    <s v="ERNESTO MORALES RAMOS"/>
    <s v="San Juan"/>
    <s v="Capacitación de la industria cinematográfica local por la ley 27-2011"/>
    <x v="14"/>
    <n v="120000"/>
    <n v="63300"/>
    <n v="56700"/>
    <n v="0"/>
    <s v="Auspicio.  Contrato vencido."/>
  </r>
  <r>
    <s v="FIE60-2021-2022-0106"/>
    <s v="2022-000306"/>
    <x v="54"/>
    <d v="2022-01-28T00:00:00"/>
    <d v="2027-01-27T00:00:00"/>
    <s v="Contract"/>
    <s v="CHEMICAL SOLUTIONS, LLC."/>
    <s v="YABUCOA"/>
    <s v="Manufactura de lubricantes"/>
    <x v="9"/>
    <n v="300000"/>
    <n v="0"/>
    <n v="0"/>
    <n v="300000"/>
    <n v="9.09"/>
  </r>
  <r>
    <s v="FIE60-2021-2022-0007"/>
    <s v="2022-000304"/>
    <x v="50"/>
    <d v="2022-01-31T00:00:00"/>
    <d v="2027-01-30T00:00:00"/>
    <s v="Contract"/>
    <s v="CARLOS ESCRIBANO LLC"/>
    <s v="TOA ALTA"/>
    <s v="Cajas de cartón"/>
    <x v="12"/>
    <n v="38000"/>
    <n v="0"/>
    <n v="0"/>
    <n v="38000"/>
    <n v="1.1399999999999999"/>
  </r>
  <r>
    <s v="FIE60-2020-2021-0170"/>
    <s v="2022-000314"/>
    <x v="37"/>
    <d v="2022-02-02T00:00:00"/>
    <d v="2027-02-01T00:00:00"/>
    <s v="Contract"/>
    <s v="AUTOPAK ENGINEERING, CORP."/>
    <s v="CAGUAS"/>
    <s v="Manufactura de maquinaria robótica"/>
    <x v="12"/>
    <n v="114000"/>
    <n v="0"/>
    <n v="91200"/>
    <n v="22800"/>
    <n v="0.66"/>
  </r>
  <r>
    <s v="FIE60-2020-2021-0171"/>
    <s v="2022-000315"/>
    <x v="37"/>
    <d v="2022-02-02T00:00:00"/>
    <d v="2027-02-01T00:00:00"/>
    <s v="Contract"/>
    <s v="AUTOPAK ENGINEERING, CORP."/>
    <s v="CAGUAS"/>
    <s v="Manufactura de maquinaria robótica"/>
    <x v="10"/>
    <n v="250000"/>
    <n v="0"/>
    <n v="36907.589999999997"/>
    <n v="213092.41"/>
    <n v="0.66"/>
  </r>
  <r>
    <s v="FIE60-2022-2023-0014"/>
    <s v="2023-002022"/>
    <x v="55"/>
    <d v="2022-02-07T00:00:00"/>
    <d v="2023-02-06T00:00:00"/>
    <s v="Contract"/>
    <s v="HH DUCTWORK, LLC."/>
    <s v="CATAÑO"/>
    <s v="Fabricación de conductos para sistemas de aire acondicionado, campanas de cocinas comerciales e industrials y equipos de ventilación"/>
    <x v="8"/>
    <n v="7500"/>
    <n v="0"/>
    <n v="0"/>
    <n v="7500"/>
    <n v="1"/>
  </r>
  <r>
    <s v="FIE60-2021-2022-0017"/>
    <s v="2022-000320"/>
    <x v="50"/>
    <d v="2022-02-09T00:00:00"/>
    <d v="2027-02-08T00:00:00"/>
    <s v="Contract"/>
    <s v="CONDADO WINDOWS HURRICANE PROTECTION INC. (CWHP)"/>
    <s v="BAYAMÓN"/>
    <s v="Manufactura de puertas, tormenteras y ventanas "/>
    <x v="12"/>
    <n v="57000"/>
    <n v="0"/>
    <n v="0"/>
    <n v="57000"/>
    <n v="2.86"/>
  </r>
  <r>
    <s v="FIE60-2021-2022-0018"/>
    <s v="2022-000321"/>
    <x v="50"/>
    <d v="2022-02-09T00:00:00"/>
    <d v="2027-02-08T00:00:00"/>
    <s v="Contract"/>
    <s v="CONDADO WINDOWS HURRICANE PROTECTION INC. (CWHP)"/>
    <s v="BAYAMÓN"/>
    <s v="Manufactura de puertas, tormenteras y ventanas "/>
    <x v="10"/>
    <n v="366084"/>
    <n v="0"/>
    <n v="251136.11000000002"/>
    <n v="114947.88999999998"/>
    <n v="2.86"/>
  </r>
  <r>
    <s v="FIE60-2021-2022-0003"/>
    <s v="2022-000322"/>
    <x v="50"/>
    <d v="2022-02-09T00:00:00"/>
    <d v="2025-02-08T00:00:00"/>
    <s v="Cancelled"/>
    <s v="SNC TECHNICAL SERVICES LLC.  "/>
    <s v="CAMUY"/>
    <s v="Uniformes militares"/>
    <x v="12"/>
    <n v="80600"/>
    <n v="80600"/>
    <n v="0"/>
    <n v="0"/>
    <s v="756%.  Contrato Vencido"/>
  </r>
  <r>
    <s v="FIE60-2021-2022-0004"/>
    <s v="2022-000323"/>
    <x v="50"/>
    <d v="2022-02-09T00:00:00"/>
    <d v="2027-02-08T00:00:00"/>
    <s v="Contract"/>
    <s v="SNC TECHNICAL SERVICES LLC.  "/>
    <s v="CAMUY"/>
    <s v="Uniformes militares"/>
    <x v="10"/>
    <n v="50000"/>
    <n v="0"/>
    <n v="0"/>
    <n v="50000"/>
    <n v="7.56"/>
  </r>
  <r>
    <s v="FIE60-2021-2022-0105"/>
    <s v="2022-000326"/>
    <x v="54"/>
    <d v="2022-02-09T00:00:00"/>
    <d v="2027-02-08T00:00:00"/>
    <s v="Contract"/>
    <s v="CHEMICAL SOLUTIONS, LLC."/>
    <s v="YABUCOA"/>
    <s v="Manufactura de lubricantes"/>
    <x v="8"/>
    <n v="90000"/>
    <n v="0"/>
    <n v="0"/>
    <n v="90000"/>
    <n v="9.09"/>
  </r>
  <r>
    <s v="FIE60-2021-2022-0034"/>
    <s v="2022-000330"/>
    <x v="53"/>
    <d v="2022-02-10T00:00:00"/>
    <d v="2027-02-09T00:00:00"/>
    <s v="Contract"/>
    <s v="ABBVIE BIOTECHNOLOGY LTD."/>
    <s v="BARCELONETA"/>
    <s v="Productos farmacéuticos"/>
    <x v="12"/>
    <n v="510000"/>
    <n v="0"/>
    <n v="232000"/>
    <n v="278000"/>
    <n v="42.63"/>
  </r>
  <r>
    <s v="FIE60-2021-2022-0035"/>
    <s v="2022-000331"/>
    <x v="53"/>
    <d v="2022-02-10T00:00:00"/>
    <d v="2027-02-09T00:00:00"/>
    <s v="Contract"/>
    <s v="ABBVIE BIOTECHNOLOGY LTD."/>
    <s v="BARCELONETA"/>
    <s v="Productos farmacéuticos"/>
    <x v="10"/>
    <n v="5000000"/>
    <n v="0"/>
    <n v="1889636.4"/>
    <n v="3110363.6"/>
    <n v="42.63"/>
  </r>
  <r>
    <s v="FIE60-2021-2022-0049"/>
    <s v="2022-000332"/>
    <x v="56"/>
    <d v="2022-02-11T00:00:00"/>
    <d v="2027-02-10T00:00:00"/>
    <s v="Contract"/>
    <s v="VAQUERÍA TRES MONJITAS, INC."/>
    <s v="SAN JUAN"/>
    <s v="Elaboración de productos lácteos y bebidas refirgeradas"/>
    <x v="10"/>
    <n v="2034525"/>
    <n v="0"/>
    <n v="0"/>
    <n v="2034525"/>
    <n v="6.74"/>
  </r>
  <r>
    <s v="FIE60-2021-2022-0024"/>
    <s v="2022-000334"/>
    <x v="48"/>
    <d v="2022-02-14T00:00:00"/>
    <d v="2023-08-13T00:00:00"/>
    <s v="Cancelled"/>
    <s v="AMASAR LLC"/>
    <s v="JAYUYA"/>
    <s v="Manufactura de productos derivados de la pana y otras viandas"/>
    <x v="13"/>
    <n v="25000"/>
    <n v="15763.97"/>
    <n v="9236.0299999999988"/>
    <n v="0"/>
    <s v="Programa de apoyo a empresarios minoritarios.  Contrato vencido"/>
  </r>
  <r>
    <s v="FIE60-2021-2022-0024"/>
    <s v="2022-000335"/>
    <x v="48"/>
    <d v="2022-02-14T00:00:00"/>
    <d v="2023-08-13T00:00:00"/>
    <s v="Cancelled (Balance pending)"/>
    <s v="INTERNET VISION DEVELOPMENT CORP."/>
    <s v="SAN JUAN"/>
    <s v="Diseño y desarrollo de programas o aplicaciones licenciados para su reproducción en escala comercial"/>
    <x v="13"/>
    <n v="50000"/>
    <n v="26660"/>
    <n v="0"/>
    <n v="23340"/>
    <s v="Programa de apoyo a empresarios minoritarios"/>
  </r>
  <r>
    <s v="FIE60-2021-2022-0128"/>
    <s v="2022-000337"/>
    <x v="57"/>
    <d v="2022-02-15T00:00:00"/>
    <d v="2025-02-14T00:00:00"/>
    <s v="Contract"/>
    <s v="RONES SUPERIORES DE PUERTO RICO &amp; COMPAÑÍA, INC."/>
    <s v="CABO ROJO"/>
    <s v="Manufactura de ron"/>
    <x v="8"/>
    <n v="11500"/>
    <n v="0"/>
    <n v="0"/>
    <n v="11500"/>
    <n v="31.2"/>
  </r>
  <r>
    <s v="FIE60-2021-2022-0129"/>
    <s v="2022-000338"/>
    <x v="57"/>
    <d v="2022-02-15T00:00:00"/>
    <d v="2027-02-14T00:00:00"/>
    <s v="Contract"/>
    <s v="RONES SUPERIORES DE PUERTO RICO &amp; COMPAÑÍA, INC."/>
    <s v="CABO ROJO"/>
    <s v="Manufactura de ron"/>
    <x v="10"/>
    <n v="156000"/>
    <n v="0"/>
    <n v="31680"/>
    <n v="124320"/>
    <n v="31.2"/>
  </r>
  <r>
    <s v="FIE60-2021-2022-0132"/>
    <s v="2022-000339"/>
    <x v="57"/>
    <d v="2022-02-15T00:00:00"/>
    <d v="2025-02-14T00:00:00"/>
    <s v="Contract"/>
    <s v="TRANSPORTE RODRÍGUEZ ASFALTO, INC."/>
    <s v="AGUADA"/>
    <s v="Reciclaje y manufactura de neumaticos desechados"/>
    <x v="8"/>
    <n v="150000"/>
    <n v="0"/>
    <n v="0"/>
    <n v="150000"/>
    <n v="1.02"/>
  </r>
  <r>
    <s v="FIE60-2021-2022-0133"/>
    <s v="2022-000340"/>
    <x v="57"/>
    <d v="2022-02-15T00:00:00"/>
    <d v="2027-02-14T00:00:00"/>
    <s v="Contract"/>
    <s v="TRANSPORTE RODRÍGUEZ ASFALTO, INC."/>
    <s v="AGUADA"/>
    <s v="Reciclaje y manufactura de neumaticos desechados"/>
    <x v="10"/>
    <n v="2100000"/>
    <n v="0"/>
    <n v="0"/>
    <n v="2100000"/>
    <n v="1.02"/>
  </r>
  <r>
    <s v="FIE60-2021-2022-0124"/>
    <s v="2022-000351"/>
    <x v="57"/>
    <d v="2022-02-24T00:00:00"/>
    <d v="2027-02-23T00:00:00"/>
    <s v="Contract"/>
    <s v="PUERTO RICO HOSPITAL SUPPLY, INC."/>
    <s v="RIO GRANDE"/>
    <s v="Suplidor de materiales y equipo de hospitales, medicos, laboratorios y rayos-x  "/>
    <x v="8"/>
    <n v="250000"/>
    <n v="0"/>
    <n v="0"/>
    <n v="250000"/>
    <n v="6.17"/>
  </r>
  <r>
    <s v="FIE-2019-2020-IIP-0022"/>
    <s v="2022-000348"/>
    <x v="58"/>
    <d v="2022-02-24T00:00:00"/>
    <d v="2025-02-23T00:00:00"/>
    <s v="Contract"/>
    <s v="ACEVEDO MENDEZ, RUBEN"/>
    <s v="AGUADA"/>
    <s v="Artesanía"/>
    <x v="15"/>
    <n v="2000"/>
    <n v="0"/>
    <n v="0"/>
    <n v="2000"/>
    <s v="Programa de apoyo a empresarios minoritarios"/>
  </r>
  <r>
    <s v="FIE-2019-2020-IIP-0021"/>
    <s v="2022-000349"/>
    <x v="58"/>
    <d v="2022-02-24T00:00:00"/>
    <d v="2022-02-28T00:00:00"/>
    <s v="Contract"/>
    <s v="EMPRESAS RAMOS PEREZ, LLC"/>
    <s v="ADJUNTAS"/>
    <s v="14to festival del frío"/>
    <x v="15"/>
    <n v="6740"/>
    <n v="0"/>
    <n v="0"/>
    <n v="6740"/>
    <s v="Programa de apoyo a empresarios minoritarios"/>
  </r>
  <r>
    <s v="FIE60-2021-2022-0134"/>
    <s v="2022-000343"/>
    <x v="48"/>
    <d v="2022-02-24T00:00:00"/>
    <d v="2025-12-31T00:00:00"/>
    <s v="Contract"/>
    <s v="ALEXANDRA SOFIA VALENTIN GONZALEZ"/>
    <s v="RINCÓN"/>
    <s v="Beca Teodoro Moscoso Mora"/>
    <x v="16"/>
    <n v="40000"/>
    <n v="0"/>
    <n v="35000"/>
    <n v="5000"/>
    <s v="Programa de apoyo a empresarios minoritarios"/>
  </r>
  <r>
    <s v="FIE60-2021-2022-0134"/>
    <s v="2022-000344"/>
    <x v="48"/>
    <d v="2022-02-24T00:00:00"/>
    <d v="2025-12-31T00:00:00"/>
    <s v="Contract"/>
    <s v="JUAN DIEGO GUZMAN SANTIAGO"/>
    <s v="YAUCO"/>
    <s v="Beca Teodoro Moscoso Mora"/>
    <x v="16"/>
    <n v="40000"/>
    <n v="0"/>
    <n v="15000"/>
    <n v="25000"/>
    <s v="Programa de apoyo a empresarios minoritarios"/>
  </r>
  <r>
    <s v="FIE60-2021-2022-0134"/>
    <s v="2022-000345"/>
    <x v="48"/>
    <d v="2022-02-24T00:00:00"/>
    <d v="2025-12-31T00:00:00"/>
    <s v="Contract"/>
    <s v="MICHELLE CAMILE BOU ROJAS"/>
    <s v="TRUJILLO ALTO"/>
    <s v="Beca Teodoro Moscoso Mora"/>
    <x v="16"/>
    <n v="40000"/>
    <n v="0"/>
    <n v="30000"/>
    <n v="10000"/>
    <s v="Programa de apoyo a empresarios minoritarios"/>
  </r>
  <r>
    <s v="FIE60-2021-2022-0134"/>
    <s v="2022-000346"/>
    <x v="48"/>
    <d v="2022-02-24T00:00:00"/>
    <d v="2025-12-31T00:00:00"/>
    <s v="Contract"/>
    <s v="ABDIEL RAUL VEGA PACHECO"/>
    <s v="SABANA GRANDE"/>
    <s v="Beca Teodoro Moscoso Mora"/>
    <x v="16"/>
    <n v="40000"/>
    <n v="0"/>
    <n v="25000"/>
    <n v="15000"/>
    <s v="Programa de apoyo a empresarios minoritarios"/>
  </r>
  <r>
    <s v="FIE60-2021-2022-0085"/>
    <s v="2022-000375"/>
    <x v="59"/>
    <d v="2022-02-28T00:00:00"/>
    <d v="2025-02-27T00:00:00"/>
    <s v="Cancelled"/>
    <s v="PROPPER INTERNATIONAL, INC."/>
    <s v="CABO ROJO"/>
    <s v="Manufactura de camisas militares de manga larga para varones mediante contrato de manufactura con el departamento de defensa de eua"/>
    <x v="12"/>
    <n v="85000"/>
    <n v="56150"/>
    <n v="28850"/>
    <n v="0"/>
    <n v="4.9800000000000004"/>
  </r>
  <r>
    <s v="FIE60-2021-2022-0087"/>
    <s v="2022-000369"/>
    <x v="59"/>
    <d v="2022-02-28T00:00:00"/>
    <d v="2025-02-27T00:00:00"/>
    <s v="Cancelled"/>
    <s v="PROPPER INTERNATIONAL, INC."/>
    <s v="CABO ROJO"/>
    <s v="Manufactura de uniformes (camisa y pantalón) para el departamento de seguridad nacional de eua bajo un acuerdo con vanity fair"/>
    <x v="12"/>
    <n v="340000"/>
    <n v="133000"/>
    <n v="207000"/>
    <n v="0"/>
    <n v="4.8"/>
  </r>
  <r>
    <s v="FIE60-2021-2022-0088"/>
    <s v="2022-000373"/>
    <x v="59"/>
    <d v="2022-02-28T00:00:00"/>
    <d v="2025-02-27T00:00:00"/>
    <s v="Cancelled"/>
    <s v="PROPPER INTERNATIONAL, INC."/>
    <s v="CABO ROJO"/>
    <s v="Manufactura de bolsas de dormir para militares por contrato con el departamento de defensa de eua "/>
    <x v="12"/>
    <n v="714000"/>
    <n v="321069"/>
    <n v="392931"/>
    <n v="0"/>
    <s v="320%.  Oficina de Finanzas canceló por incumplimiento base anual al 5-30-2025"/>
  </r>
  <r>
    <s v="FIE60-2021-2022-0120"/>
    <s v="2022-000367"/>
    <x v="57"/>
    <d v="2022-02-28T00:00:00"/>
    <d v="2027-02-27T00:00:00"/>
    <s v="Contract"/>
    <s v="N &amp; D PRODUCTS, LLC."/>
    <s v="PONCE"/>
    <s v="Elaboración de productos de repostería, tales como &quot;pound cake&quot; en diversos sabores.  También se eleboraran &quot;domplines&quot;."/>
    <x v="10"/>
    <n v="44000"/>
    <n v="0"/>
    <n v="36260"/>
    <n v="7740"/>
    <n v="1"/>
  </r>
  <r>
    <s v="FIE60-2021-2022-0145"/>
    <s v="2022-000371"/>
    <x v="60"/>
    <d v="2022-02-28T00:00:00"/>
    <d v="2025-02-27T00:00:00"/>
    <s v="Cancelled"/>
    <s v="PROPPER INTERNATIONAL, INC."/>
    <s v="CABO ROJO"/>
    <s v="Manufactura del &quot;flight deck trouser&quot; mediante un  contrato de manufactura con el departamento de defensa de eua"/>
    <x v="12"/>
    <n v="85000"/>
    <n v="85000"/>
    <n v="0"/>
    <n v="0"/>
    <n v="4.9800000000000004"/>
  </r>
  <r>
    <s v="FIE60-2020-2021-0142"/>
    <s v="2021-000211-A"/>
    <x v="61"/>
    <d v="2022-03-06T00:00:00"/>
    <d v="2026-03-23T00:00:00"/>
    <s v="Contract"/>
    <s v="THREE FORKS - CARIBBEAN LLC"/>
    <s v="VEGA BAJA"/>
    <s v="Producción vertical de vegetales mediante aeropónicos"/>
    <x v="9"/>
    <n v="765179"/>
    <n v="0"/>
    <n v="195867.26"/>
    <n v="569311.74"/>
    <n v="0.43"/>
  </r>
  <r>
    <s v="FIE60-2021-2022-0109"/>
    <s v="2022-000378"/>
    <x v="57"/>
    <d v="2022-03-09T00:00:00"/>
    <d v="2025-03-08T00:00:00"/>
    <s v="Contract"/>
    <s v="DESTILERIA COQUI, INC."/>
    <s v="MAYAGÜEZ"/>
    <s v="Bebidas alcohólicas y alcohol etílico"/>
    <x v="8"/>
    <n v="27500"/>
    <n v="0"/>
    <n v="4500"/>
    <n v="23000"/>
    <n v="238.92"/>
  </r>
  <r>
    <s v="FIE60-2021-2022-0110"/>
    <s v="2022-000379"/>
    <x v="57"/>
    <d v="2022-03-09T00:00:00"/>
    <d v="2027-03-08T00:00:00"/>
    <s v="Contract"/>
    <s v="DESTILERIA COQUI, INC."/>
    <s v="MAYAGÜEZ"/>
    <s v="Bebidas alcohólicas y alcohol etílico"/>
    <x v="10"/>
    <n v="91922"/>
    <n v="0"/>
    <n v="57803.13"/>
    <n v="34118.870000000003"/>
    <n v="238.92"/>
  </r>
  <r>
    <s v="FIE60-2021-2022-0154"/>
    <s v="2022-000381"/>
    <x v="60"/>
    <d v="2022-03-11T00:00:00"/>
    <d v="2025-03-10T00:00:00"/>
    <s v="Cancelled"/>
    <s v="PROPPER INTERNATIONAL, INC."/>
    <s v="CABO ROJO"/>
    <s v="Manufactura del &quot; molle 4000 rucksack $ related components &quot; para el departmento de defensa de eua"/>
    <x v="12"/>
    <n v="656250"/>
    <n v="22750"/>
    <n v="633500"/>
    <n v="0"/>
    <s v="318%.  Finanzas canceló el 6-16-2025.  Contrato culminó."/>
  </r>
  <r>
    <s v="FIE60-2021-2022-0161"/>
    <s v="2022-000394"/>
    <x v="62"/>
    <d v="2022-03-16T00:00:00"/>
    <d v="2027-03-15T00:00:00"/>
    <s v="Contract"/>
    <s v="A AVANTI KITCHENS, INC."/>
    <s v="CANOVANAS"/>
    <s v="Gabinetes de cocina y baños, topes de cocina                                   "/>
    <x v="8"/>
    <n v="28000"/>
    <n v="0"/>
    <n v="0"/>
    <n v="28000"/>
    <n v="2.13"/>
  </r>
  <r>
    <s v="FIE60-2021-2022-0134"/>
    <s v="2022-000403"/>
    <x v="48"/>
    <d v="2022-03-16T00:00:00"/>
    <d v="2025-12-31T00:00:00"/>
    <s v="Contract"/>
    <s v="KRYSTAL MARIE DOMINGUEZ VAZQUEZ"/>
    <s v="HUMACAO"/>
    <s v="Beca Teodoro Moscoso Mora"/>
    <x v="16"/>
    <n v="40000"/>
    <n v="0"/>
    <n v="25000"/>
    <n v="15000"/>
    <s v="Programa de apoyo a empresarios minoritarios"/>
  </r>
  <r>
    <s v="FIE60-2021-2022-0134"/>
    <s v="2022-000404"/>
    <x v="48"/>
    <d v="2022-03-16T00:00:00"/>
    <d v="2026-12-31T00:00:00"/>
    <s v="Contract"/>
    <s v="JUAN LUIS CONCEPCION SIERRA"/>
    <s v="VEGA ALTA"/>
    <s v="Beca Teodoro Moscoso Mora"/>
    <x v="16"/>
    <n v="40000"/>
    <n v="0"/>
    <n v="35000"/>
    <n v="5000"/>
    <s v="Programa de apoyo a empresarios minoritarios"/>
  </r>
  <r>
    <s v="FIE60-2021-2022-0077"/>
    <s v="2022-000424"/>
    <x v="59"/>
    <d v="2022-03-24T00:00:00"/>
    <d v="2027-03-23T00:00:00"/>
    <s v="Cancelled"/>
    <s v="M&amp;M OPTICAL SHOP CORP."/>
    <s v="GUAYNABO"/>
    <s v="Manufactura de lentes oftálmicos"/>
    <x v="8"/>
    <n v="15000"/>
    <n v="15000"/>
    <n v="0"/>
    <n v="0"/>
    <n v="13.6"/>
  </r>
  <r>
    <s v="FIE60-2021-2022-0078"/>
    <s v="2022-000425"/>
    <x v="59"/>
    <d v="2022-03-24T00:00:00"/>
    <d v="2027-03-23T00:00:00"/>
    <s v="Cancelled"/>
    <s v="M&amp;M OPTICAL SHOP CORP."/>
    <s v="GUAYNABO"/>
    <s v="Manufactura de lentes oftálmicos"/>
    <x v="10"/>
    <n v="207500"/>
    <n v="14325.61"/>
    <n v="193174.39"/>
    <n v="0"/>
    <n v="13.6"/>
  </r>
  <r>
    <s v="FIE60-2021-2022-0164"/>
    <s v="2022-000419-A"/>
    <x v="63"/>
    <d v="2022-03-24T00:00:00"/>
    <d v="2027-03-23T00:00:00"/>
    <s v="Contract"/>
    <s v="ONE HEALTH DIRECT, LLC"/>
    <s v="SAN JUAN"/>
    <s v="Ayudar a clientes y pacientes  en los ee.uu. Y todos sus territorios. Exportando servicios desde puerto rico."/>
    <x v="12"/>
    <n v="2782875"/>
    <n v="0"/>
    <n v="93000.11"/>
    <n v="2689874.89"/>
    <n v="8.3500000000000005E-2"/>
  </r>
  <r>
    <s v="FIE60-2021-2022-0023"/>
    <s v="2022-000423"/>
    <x v="48"/>
    <d v="2022-03-24T00:00:00"/>
    <d v="2025-03-23T00:00:00"/>
    <s v="Contract"/>
    <s v="SOCIAL GAME MEDIA, INC."/>
    <s v="GUAYNABO"/>
    <s v="Buscador (search engine) que proteje la privacidad de sus usuarios"/>
    <x v="17"/>
    <n v="200000"/>
    <n v="0"/>
    <n v="0"/>
    <n v="200000"/>
    <s v="Programa de apoyo a empresarios minoritarios"/>
  </r>
  <r>
    <s v="FIE60-2020-2021-0176"/>
    <s v="2022-000431"/>
    <x v="37"/>
    <d v="2022-03-29T00:00:00"/>
    <d v="2027-03-28T00:00:00"/>
    <s v="Contract"/>
    <s v="BIOSOMILAR SCIENCES PR, LLC (Project Flamboyant)"/>
    <s v="AGUADILLA"/>
    <s v="Biopharmaceutical products manufacturing"/>
    <x v="8"/>
    <n v="6281200"/>
    <n v="0"/>
    <n v="0"/>
    <n v="6281200"/>
    <n v="5.6"/>
  </r>
  <r>
    <s v="FIE60-2020-2021-0175"/>
    <s v="2022-000433"/>
    <x v="37"/>
    <d v="2022-03-29T00:00:00"/>
    <d v="2027-03-28T00:00:00"/>
    <s v="Contract"/>
    <s v="BIOSOMILAR SCIENCES PR, LLC (Project Flamboyant)"/>
    <s v="AGUADILLA"/>
    <s v="Biopharmaceutical products manufacturing"/>
    <x v="9"/>
    <n v="3000000"/>
    <n v="0"/>
    <n v="0"/>
    <n v="3000000"/>
    <n v="5.6"/>
  </r>
  <r>
    <s v="FIE60-2021-2022-0152"/>
    <s v="2022-000439"/>
    <x v="60"/>
    <d v="2022-03-31T00:00:00"/>
    <d v="2027-03-30T00:00:00"/>
    <s v="Contract"/>
    <s v="AJR MANUFACTURING CORP."/>
    <s v="SAN LORENZO"/>
    <s v="Equipos eléctricos, piezas de metal y accesorios"/>
    <x v="10"/>
    <n v="150000"/>
    <n v="0"/>
    <n v="0"/>
    <n v="150000"/>
    <n v="0.27"/>
  </r>
  <r>
    <s v="FIE60-2021-2022-0153"/>
    <s v="2022-000438"/>
    <x v="60"/>
    <d v="2022-03-31T00:00:00"/>
    <d v="2025-03-30T00:00:00"/>
    <s v="Contract"/>
    <s v="AJR MANUFACTURING CORP."/>
    <s v="SAN LORENZO"/>
    <s v="Equipos eléctricos, piezas de metal y accesorios"/>
    <x v="8"/>
    <n v="6000"/>
    <n v="0"/>
    <n v="0"/>
    <n v="6000"/>
    <n v="0.27"/>
  </r>
  <r>
    <s v="FIE-2018-2019-IIP-0036"/>
    <s v="2021-000098-A"/>
    <x v="4"/>
    <d v="2022-04-06T00:00:00"/>
    <d v="2027-09-02T00:00:00"/>
    <s v="Contract"/>
    <s v="HUERTO ISLENO, INC."/>
    <s v="TOA ALTA"/>
    <s v="Siembra de hidropónico"/>
    <x v="5"/>
    <n v="209199"/>
    <n v="0"/>
    <n v="0"/>
    <n v="209199"/>
    <s v="Programa de apoyo a empresarios minoritarios"/>
  </r>
  <r>
    <s v="FIE60-2021-2022-0122"/>
    <s v="2022-000451"/>
    <x v="57"/>
    <d v="2022-04-19T00:00:00"/>
    <d v="2027-04-18T00:00:00"/>
    <s v="Contract"/>
    <s v="PREMIERE CHEMICAL COMPANY CORP"/>
    <s v="CATAÑO"/>
    <s v="Manufactura de productos de limpieza industrial"/>
    <x v="8"/>
    <n v="16000"/>
    <n v="0"/>
    <n v="0"/>
    <n v="16000"/>
    <n v="6.46"/>
  </r>
  <r>
    <s v="FIE60-2021-2022-0130"/>
    <s v="2022-000489"/>
    <x v="57"/>
    <d v="2022-04-21T00:00:00"/>
    <d v="2025-04-20T00:00:00"/>
    <s v="Contract"/>
    <s v="SANTOS J. HERNÁNDEZ AVILÉS D/B/A/ LA VILLA METALS"/>
    <s v="PONCE"/>
    <s v="Recolección y compactación de metales reciclables, plásticos, papel, cartón y baterías"/>
    <x v="8"/>
    <n v="9000"/>
    <n v="0"/>
    <n v="0"/>
    <n v="9000"/>
    <n v="1.98"/>
  </r>
  <r>
    <s v="FIE60-2021-2022-0131"/>
    <s v="2022-000490"/>
    <x v="57"/>
    <d v="2022-04-21T00:00:00"/>
    <d v="2027-04-19T00:00:00"/>
    <s v="Contract"/>
    <s v="SANTOS J. HERNÁNDEZ AVILÉS D/B/A/ LA VILLA METALS"/>
    <s v="PONCE"/>
    <s v="Recolección y compactación de metales reciclables, plásticos, papel, cartón y baterías"/>
    <x v="10"/>
    <n v="43900"/>
    <n v="0"/>
    <n v="43250"/>
    <n v="650"/>
    <n v="1.98"/>
  </r>
  <r>
    <s v="FIE60-2021-2022-0134"/>
    <s v="2022-000506"/>
    <x v="48"/>
    <d v="2022-05-02T00:00:00"/>
    <d v="2024-12-31T00:00:00"/>
    <s v="Contract"/>
    <s v="YOMAR E. CRISPIN APONTE"/>
    <s v="BAYAMÓN"/>
    <s v="Beca Teodoro Moscoso Mora"/>
    <x v="16"/>
    <n v="40000"/>
    <n v="0"/>
    <n v="25000"/>
    <n v="15000"/>
    <s v="Programa de apoyo a empresarios minoritarios"/>
  </r>
  <r>
    <s v="FIE60-2021-2022-0135"/>
    <s v="2022-000507"/>
    <x v="60"/>
    <d v="2022-05-03T00:00:00"/>
    <d v="2026-05-02T00:00:00"/>
    <s v="Cancelled"/>
    <s v="EL BORICUA , INC."/>
    <s v="HATILLO"/>
    <s v="Manufactura de productos de repostería y dulces "/>
    <x v="8"/>
    <n v="30000"/>
    <n v="4666.82"/>
    <n v="25333.18"/>
    <n v="0"/>
    <s v="45%.  Se canceló el 3-5-2025 por incumplimiento de base."/>
  </r>
  <r>
    <s v="FIE60-2021-2022-0137"/>
    <s v="2022-000508"/>
    <x v="60"/>
    <d v="2022-05-03T00:00:00"/>
    <d v="2027-05-02T00:00:00"/>
    <s v="Contract"/>
    <s v="EL BORICUA , INC."/>
    <s v="HATILLO"/>
    <s v="Manufactura de productos de repostería y dulces "/>
    <x v="10"/>
    <n v="43000"/>
    <n v="0"/>
    <n v="35452"/>
    <n v="7548"/>
    <n v="0.45"/>
  </r>
  <r>
    <s v="FIE60-2021-2022-0023"/>
    <s v="2022-000523"/>
    <x v="48"/>
    <d v="2022-05-11T00:00:00"/>
    <d v="2025-05-10T00:00:00"/>
    <s v="Contract"/>
    <s v="MAREPESCA, LLC"/>
    <s v="CAROLINA"/>
    <s v="Granja ras (recirculation aquaculture system) en tierra"/>
    <x v="17"/>
    <n v="100000"/>
    <n v="0"/>
    <n v="100000"/>
    <n v="0"/>
    <s v="Programa de apoyo a empresarios minoritarios"/>
  </r>
  <r>
    <s v="FIE60-2021-2022-0024"/>
    <s v="2022-000534"/>
    <x v="48"/>
    <d v="2022-05-20T00:00:00"/>
    <d v="2023-11-19T00:00:00"/>
    <s v="Contract"/>
    <s v="FUTURE PRODUCTS CORPORATION"/>
    <s v="CAROLINA"/>
    <s v="Lubricantes para vehiculos y equipo pesado"/>
    <x v="13"/>
    <n v="50000"/>
    <n v="0"/>
    <n v="20428.3"/>
    <n v="29571.7"/>
    <s v="Programa de apoyo a empresarios minoritarios"/>
  </r>
  <r>
    <s v="FIE60-2021-2022-0138"/>
    <s v="2022-000536"/>
    <x v="60"/>
    <d v="2022-05-23T00:00:00"/>
    <d v="2027-05-22T00:00:00"/>
    <s v="Contract"/>
    <s v="MADE IN AMERICA"/>
    <s v="CAROLINA"/>
    <s v="Fabricación de equipos de protección personal "/>
    <x v="10"/>
    <n v="200000"/>
    <n v="0"/>
    <n v="0"/>
    <n v="200000"/>
    <n v="5.29"/>
  </r>
  <r>
    <s v="FIE60-2021-2022-0139"/>
    <s v="2022-000535"/>
    <x v="60"/>
    <d v="2022-05-23T00:00:00"/>
    <d v="2027-05-22T00:00:00"/>
    <s v="Contract"/>
    <s v="MADE IN AMERICA"/>
    <s v="CAROLINA"/>
    <s v="Fabricación de equipos de protección personal "/>
    <x v="8"/>
    <n v="84750"/>
    <n v="0"/>
    <n v="0"/>
    <n v="84750"/>
    <n v="5.29"/>
  </r>
  <r>
    <s v="FIE60-2021-2022-0175"/>
    <s v="2022-000545"/>
    <x v="64"/>
    <d v="2022-05-25T00:00:00"/>
    <d v="2025-05-24T00:00:00"/>
    <s v="Contract"/>
    <s v="LOYD SANABRIA H/N/C AVÍCOLA SANTA FÉ"/>
    <s v="SALINAS"/>
    <s v="Procesamiento de huevos de mesa"/>
    <x v="8"/>
    <n v="4800"/>
    <n v="0"/>
    <n v="0"/>
    <n v="4800"/>
    <n v="2.99"/>
  </r>
  <r>
    <s v="FIE60-2021-2022-0176"/>
    <s v="2022-000546"/>
    <x v="64"/>
    <d v="2022-05-25T00:00:00"/>
    <d v="2027-05-24T00:00:00"/>
    <s v="Contract"/>
    <s v="LOYD SANABRIA H/N/C AVÍCOLA SANTA FÉ"/>
    <s v="SALINAS"/>
    <s v="Procesamiento de huevos de mesa"/>
    <x v="10"/>
    <n v="50148"/>
    <n v="0"/>
    <n v="48050"/>
    <n v="2098"/>
    <n v="2.99"/>
  </r>
  <r>
    <s v="FIE60-2021-2022-0140"/>
    <s v="2022-000544"/>
    <x v="60"/>
    <d v="2022-05-26T00:00:00"/>
    <d v="2027-05-25T00:00:00"/>
    <s v="Contract"/>
    <s v="MUMAS RENACIENDO CORP."/>
    <s v="HATILLO"/>
    <s v="Confeccion de productos textiles"/>
    <x v="10"/>
    <n v="30000"/>
    <n v="0"/>
    <n v="8355.01"/>
    <n v="21644.989999999998"/>
    <n v="1.02"/>
  </r>
  <r>
    <s v="FIE60-2021-2022-0047"/>
    <s v="2022-000555"/>
    <x v="56"/>
    <d v="2022-05-31T00:00:00"/>
    <d v="2027-05-30T00:00:00"/>
    <s v="Contract"/>
    <s v="BETTINA COSMETICS INC."/>
    <s v="DORADO"/>
    <s v="Manufactura de productos de belleza"/>
    <x v="10"/>
    <n v="42338"/>
    <n v="0"/>
    <n v="7500"/>
    <n v="34838"/>
    <n v="14.41"/>
  </r>
  <r>
    <s v="FIE60-2021-2022-0048"/>
    <s v="2022-000554"/>
    <x v="56"/>
    <d v="2022-05-31T00:00:00"/>
    <d v="2025-05-30T00:00:00"/>
    <s v="Cancelled"/>
    <s v="BETTINA COSMETICS INC."/>
    <s v="DORADO"/>
    <s v="Manufactura de productos de belleza"/>
    <x v="12"/>
    <n v="26250"/>
    <n v="26250"/>
    <n v="0"/>
    <n v="0"/>
    <n v="14.41"/>
  </r>
  <r>
    <s v="FIE60-2021-2022-0197"/>
    <s v="2022-000552"/>
    <x v="65"/>
    <d v="2022-06-01T00:00:00"/>
    <d v="2027-05-31T00:00:00"/>
    <s v="Contract"/>
    <s v="REINA MORA BREWING CO LLC"/>
    <s v="SABANA GRANDE"/>
    <s v="Manufactura de cervezas artesanales"/>
    <x v="8"/>
    <n v="4500"/>
    <n v="0"/>
    <n v="0"/>
    <n v="4500"/>
    <n v="21.41"/>
  </r>
  <r>
    <s v="FIE60-2021-2022-0199"/>
    <s v="2022-000550"/>
    <x v="65"/>
    <d v="2022-06-01T00:00:00"/>
    <d v="2026-05-31T00:00:00"/>
    <s v="Contract"/>
    <s v="ROTOSOLUTIONS PR LLC"/>
    <s v="PONCE"/>
    <s v="Manufactura de plasticos"/>
    <x v="12"/>
    <n v="21000"/>
    <n v="0"/>
    <n v="0"/>
    <n v="21000"/>
    <n v="1.33"/>
  </r>
  <r>
    <s v="FIE60-2021-2022-0200"/>
    <s v="2022-000551"/>
    <x v="65"/>
    <d v="2022-06-01T00:00:00"/>
    <d v="2027-05-31T00:00:00"/>
    <s v="Contract"/>
    <s v="ROTOSOLUTIONS PR LLC"/>
    <s v="PONCE"/>
    <s v="Manufactura de plasticos"/>
    <x v="10"/>
    <n v="100000"/>
    <n v="0"/>
    <n v="0"/>
    <n v="100000"/>
    <n v="1.33"/>
  </r>
  <r>
    <s v="FIE60-2021-2022-0024"/>
    <s v="2022-000567"/>
    <x v="48"/>
    <d v="2022-06-13T00:00:00"/>
    <d v="2023-12-12T00:00:00"/>
    <s v="Contract"/>
    <s v="ELITEBCO LLC"/>
    <s v="SAN JUAN"/>
    <s v="Consultoria en tecnologia y desarrollo de programas"/>
    <x v="13"/>
    <n v="50000"/>
    <n v="0"/>
    <n v="37582.85"/>
    <n v="12417.150000000001"/>
    <s v="Programa de apoyo a empresarios minoritarios"/>
  </r>
  <r>
    <s v="FIE60-2021-2022-0236"/>
    <s v="2022-000570"/>
    <x v="48"/>
    <d v="2022-06-15T00:00:00"/>
    <d v="2023-06-14T00:00:00"/>
    <s v="Contract"/>
    <s v="OPTIMAL FITNESS CONDITIONING, INC."/>
    <s v="PONCE"/>
    <s v="Gimnasio"/>
    <x v="18"/>
    <n v="4974.0200000000004"/>
    <n v="0"/>
    <n v="0"/>
    <n v="4974.0200000000004"/>
    <s v="Programa de apoyo a empresarios minoritarios"/>
  </r>
  <r>
    <s v="FIE60-2021-2022-0230"/>
    <s v="2022-000572"/>
    <x v="66"/>
    <d v="2022-06-21T00:00:00"/>
    <d v="2027-06-20T00:00:00"/>
    <s v="Contract"/>
    <s v="HOGAREA, INC."/>
    <s v="CAGUAS"/>
    <s v="Manufactura de muebles , topes de cocina y baños"/>
    <x v="8"/>
    <n v="18750"/>
    <n v="0"/>
    <n v="1350"/>
    <n v="17400"/>
    <n v="3.63"/>
  </r>
  <r>
    <s v="FIE60-2021-2022-0231"/>
    <s v="2022-000573"/>
    <x v="66"/>
    <d v="2022-06-21T00:00:00"/>
    <d v="2027-06-20T00:00:00"/>
    <s v="Contract"/>
    <s v="HOGAREA, INC."/>
    <s v="CAGUAS"/>
    <s v="Manufactura de muebles , topes de cocina y baños"/>
    <x v="10"/>
    <n v="102500"/>
    <n v="0"/>
    <n v="91498.97"/>
    <n v="11001.029999999999"/>
    <n v="3.63"/>
  </r>
  <r>
    <s v="FIE60-2021-2022-0024"/>
    <s v="2022-000576"/>
    <x v="48"/>
    <d v="2022-06-21T00:00:00"/>
    <d v="2023-12-20T00:00:00"/>
    <s v="Cancelled"/>
    <s v="BEARING BUDDY ,INC."/>
    <s v="PATILLAS"/>
    <s v="Protectores de cajas de bolas"/>
    <x v="13"/>
    <n v="32500"/>
    <n v="26841.78"/>
    <n v="5658.22"/>
    <n v="0"/>
    <s v="Programa de apoyo a empresarios minoritarios.  Contrato vencido"/>
  </r>
  <r>
    <s v="FIE60-2020-2021-0277"/>
    <s v="2022-000586"/>
    <x v="49"/>
    <d v="2022-06-23T00:00:00"/>
    <d v="2027-06-22T00:00:00"/>
    <s v="Contract"/>
    <s v="RUBIDEX SERVICES LLC"/>
    <s v="SAN JUAN"/>
    <s v="Software development"/>
    <x v="8"/>
    <n v="225000"/>
    <n v="0"/>
    <n v="0"/>
    <n v="225000"/>
    <n v="2.12"/>
  </r>
  <r>
    <s v="FIE-2019-2020-IIP-0025"/>
    <s v="2022-000590"/>
    <x v="58"/>
    <d v="2022-06-24T00:00:00"/>
    <d v="2023-06-23T00:00:00"/>
    <s v="Cancelled"/>
    <s v="B &amp; B MANUFACTURING CORP."/>
    <s v="BAYAMÓN"/>
    <s v="Cableria para autos"/>
    <x v="19"/>
    <n v="38780"/>
    <n v="23019.64"/>
    <n v="15760.359999999999"/>
    <n v="0"/>
    <s v="Programa de apoyo a empresarios minoritarios. Contrato vencido"/>
  </r>
  <r>
    <s v="FIE60-2020-2021-0125"/>
    <s v="2022-000597"/>
    <x v="38"/>
    <d v="2022-06-27T00:00:00"/>
    <d v="2027-06-26T00:00:00"/>
    <s v="Contract"/>
    <s v="WHITE GLACIER MANUFACTURING CORP."/>
    <s v="HUMACAO"/>
    <s v="Life saving appliances"/>
    <x v="8"/>
    <n v="66000"/>
    <n v="0"/>
    <n v="25500"/>
    <n v="40500"/>
    <n v="2.91"/>
  </r>
  <r>
    <s v="FIE60-2020-2021-0126"/>
    <s v="2022-000598"/>
    <x v="38"/>
    <d v="2022-06-27T00:00:00"/>
    <d v="2027-06-26T00:00:00"/>
    <s v="Contract"/>
    <s v="WHITE GLACIER MANUFACTURING CORP."/>
    <s v="HUMACAO"/>
    <s v="Life saving appliances"/>
    <x v="10"/>
    <n v="125000"/>
    <n v="0"/>
    <n v="41382.82"/>
    <n v="83617.179999999993"/>
    <n v="2.91"/>
  </r>
  <r>
    <s v="FIE60-2021-2022-0193"/>
    <s v="2022-000595"/>
    <x v="65"/>
    <d v="2022-06-27T00:00:00"/>
    <d v="2027-06-26T00:00:00"/>
    <s v="Contract"/>
    <s v="CHARLES D. PETERSON DBA THE AVIATOR'S BREWERY"/>
    <s v="SAN LORENZO"/>
    <s v="Manufactura de cervezas artesanales"/>
    <x v="8"/>
    <n v="2100"/>
    <n v="0"/>
    <n v="0"/>
    <n v="2100"/>
    <n v="25.22"/>
  </r>
  <r>
    <s v="FIE60-2021-2022-0194"/>
    <s v="2022-000596"/>
    <x v="65"/>
    <d v="2022-06-27T00:00:00"/>
    <d v="2027-06-26T00:00:00"/>
    <s v="Contract"/>
    <s v="CHARLES D. PETERSON DBA THE AVIATOR'S BREWERY"/>
    <s v="SAN LORENZO"/>
    <s v="Manufactura de cervezas artesanales"/>
    <x v="10"/>
    <n v="17350"/>
    <n v="0"/>
    <n v="0"/>
    <n v="17350"/>
    <n v="25.22"/>
  </r>
  <r>
    <s v="FIE60-2021-2022-0149"/>
    <s v="2023-000004"/>
    <x v="60"/>
    <d v="2022-07-01T00:00:00"/>
    <d v="2027-06-30T00:00:00"/>
    <s v="Contract"/>
    <s v="GUIDANT PUERTO RICO BV "/>
    <s v="DORADO"/>
    <s v="Cateteres y otros equipos cardiovasculares      "/>
    <x v="12"/>
    <n v="7270000"/>
    <n v="0"/>
    <n v="6233351.9299999997"/>
    <n v="1036648.0700000003"/>
    <n v="11.92"/>
  </r>
  <r>
    <s v="FIE60-2021-2022-0192"/>
    <s v="2023-000003"/>
    <x v="60"/>
    <d v="2022-07-01T00:00:00"/>
    <d v="2027-06-30T00:00:00"/>
    <s v="Contract"/>
    <s v="GUIDANT PUERTO RICO BV "/>
    <s v="DORADO"/>
    <s v="Cateteres y otros equipos cardiovasculares      "/>
    <x v="8"/>
    <n v="140000"/>
    <n v="0"/>
    <n v="20300"/>
    <n v="119700"/>
    <n v="11.92"/>
  </r>
  <r>
    <s v="FIE60-2021-2022-0024"/>
    <s v="2023-000002"/>
    <x v="48"/>
    <d v="2022-07-01T00:00:00"/>
    <d v="2023-12-31T00:00:00"/>
    <s v="Cancelled"/>
    <s v="SONIA I. ROMAN SOLER HNC CLARO CASA"/>
    <s v="ISABELA"/>
    <s v="Costura de ropa de casa y productos relacionados"/>
    <x v="13"/>
    <n v="50000"/>
    <n v="50000"/>
    <n v="0"/>
    <n v="0"/>
    <s v="Programa de apoyo a empresarios minoritarios.  Contrato vencido"/>
  </r>
  <r>
    <s v="FIE60-2021-2022-0024"/>
    <s v="2023-000020"/>
    <x v="48"/>
    <d v="2022-07-14T00:00:00"/>
    <d v="2024-01-13T00:00:00"/>
    <s v="Contract"/>
    <s v="NAGNOI, INC."/>
    <s v="SAN JUAN"/>
    <s v="Desarrollo de software"/>
    <x v="13"/>
    <n v="50000"/>
    <n v="0"/>
    <n v="0"/>
    <n v="50000"/>
    <s v="Programa de apoyo a empresarios minoritarios"/>
  </r>
  <r>
    <s v="FIE60-2021-2022-0208"/>
    <s v="2023-000022"/>
    <x v="67"/>
    <d v="2022-07-15T00:00:00"/>
    <d v="2027-07-14T00:00:00"/>
    <s v="Contract"/>
    <s v="LA POLA LLC."/>
    <s v="CAGUAS"/>
    <s v="Costura"/>
    <x v="8"/>
    <n v="10000"/>
    <n v="0"/>
    <n v="1000"/>
    <n v="9000"/>
    <n v="1.1299999999999999"/>
  </r>
  <r>
    <s v="FIE60-2021-2022-0209"/>
    <s v="2023-000023"/>
    <x v="67"/>
    <d v="2022-07-15T00:00:00"/>
    <d v="2027-07-14T00:00:00"/>
    <s v="Contract"/>
    <s v="LA POLA LLC."/>
    <s v="CAGUAS"/>
    <s v="Costura"/>
    <x v="10"/>
    <n v="40000"/>
    <n v="0"/>
    <n v="17494.87"/>
    <n v="22505.13"/>
    <n v="1.1299999999999999"/>
  </r>
  <r>
    <s v="FIE60-2020-2021-0168"/>
    <s v="2021-999181-A"/>
    <x v="37"/>
    <d v="2022-07-18T00:00:00"/>
    <d v="2026-04-04T00:00:00"/>
    <s v="Contract"/>
    <s v="Collores Water Products LLC"/>
    <s v="JUANA DIAZ"/>
    <s v="Manufacturing of plastic bottles "/>
    <x v="8"/>
    <n v="160000"/>
    <n v="0"/>
    <n v="3600"/>
    <n v="156400"/>
    <n v="1.08"/>
  </r>
  <r>
    <s v="FIE60-2020-2021-0169"/>
    <s v="2021-999180-A"/>
    <x v="37"/>
    <d v="2022-07-18T00:00:00"/>
    <d v="2026-04-04T00:00:00"/>
    <s v="Contract"/>
    <s v="Collores Water Products LLC"/>
    <s v="JUANA DIAZ"/>
    <s v="Manufacturing of plastic bottles "/>
    <x v="10"/>
    <n v="900000"/>
    <n v="0"/>
    <n v="0"/>
    <n v="900000"/>
    <n v="1.08"/>
  </r>
  <r>
    <s v="FIE60-2021-2022-0195"/>
    <s v="2023-000027"/>
    <x v="65"/>
    <d v="2022-07-18T00:00:00"/>
    <d v="2028-07-17T00:00:00"/>
    <s v="Cancelled"/>
    <s v="GFREE FOODS LLC"/>
    <s v="VEGA BAJA"/>
    <s v="Desarrollo y confección de productos de repostería libres de gluten y lácteos"/>
    <x v="8"/>
    <n v="3500"/>
    <n v="3500"/>
    <n v="0"/>
    <n v="0"/>
    <n v="-0.09"/>
  </r>
  <r>
    <s v="FIE60-2021-2022-0196"/>
    <s v="2023-000028"/>
    <x v="65"/>
    <d v="2022-07-18T00:00:00"/>
    <d v="2027-07-17T00:00:00"/>
    <s v="Cancelled"/>
    <s v="GFREE FOODS LLC"/>
    <s v="VEGA BAJA"/>
    <s v="Desarrollo y confección de productos de repostería libres de gluten y lácteos"/>
    <x v="10"/>
    <n v="100000"/>
    <n v="100000"/>
    <n v="0"/>
    <n v="0"/>
    <n v="-0.09"/>
  </r>
  <r>
    <s v="FIE60-2021-2022-0236"/>
    <s v="2023-000035"/>
    <x v="48"/>
    <d v="2022-07-19T00:00:00"/>
    <d v="2023-07-18T00:00:00"/>
    <s v="Contract"/>
    <s v="PISHADENT LLC"/>
    <s v="PONCE"/>
    <s v="Servicios de salud oral"/>
    <x v="18"/>
    <n v="10000"/>
    <n v="0"/>
    <n v="0"/>
    <n v="10000"/>
    <s v="Programa de apoyo a empresarios minoritarios"/>
  </r>
  <r>
    <s v="FIE60-2021-2022-0235"/>
    <s v="2023-000039"/>
    <x v="48"/>
    <d v="2022-07-20T00:00:00"/>
    <d v="2024-01-19T00:00:00"/>
    <s v="Contract"/>
    <s v="YADZIA M. AVILES VELEZ"/>
    <s v="AGUADA"/>
    <s v="Servicios de terapia ocupacional"/>
    <x v="20"/>
    <n v="10000"/>
    <n v="0"/>
    <n v="5000"/>
    <n v="5000"/>
    <s v="Programa de apoyo a empresarios minoritarios"/>
  </r>
  <r>
    <s v="FIE60-2021-2022-0235"/>
    <s v="2023-000040"/>
    <x v="48"/>
    <d v="2022-07-20T00:00:00"/>
    <d v="2024-01-19T00:00:00"/>
    <s v="Contract"/>
    <s v="HAPPY LAND YOGUFRUTI CORP."/>
    <s v="SAN SEBASTIAN"/>
    <m/>
    <x v="20"/>
    <n v="10000"/>
    <n v="0"/>
    <n v="5000"/>
    <n v="5000"/>
    <s v="Programa de apoyo a empresarios minoritarios"/>
  </r>
  <r>
    <s v="FIE60-2021-2022-0235"/>
    <s v="2023-000043"/>
    <x v="48"/>
    <d v="2022-07-20T00:00:00"/>
    <d v="2024-01-19T00:00:00"/>
    <s v="Contract"/>
    <s v="CARIDAD RAMOS VAZQUEZ"/>
    <s v="ARROYO"/>
    <s v="Servicios de salud mental"/>
    <x v="20"/>
    <n v="10000"/>
    <n v="0"/>
    <n v="5000"/>
    <n v="5000"/>
    <s v="Programa de apoyo a empresarios minoritarios"/>
  </r>
  <r>
    <s v="FIE60-2021-2022-0235"/>
    <s v="2023-000046"/>
    <x v="48"/>
    <d v="2022-07-20T00:00:00"/>
    <d v="2024-01-19T00:00:00"/>
    <s v="Contract"/>
    <s v="XAVIER MEDINA GONZALEZ"/>
    <s v="AGUADA"/>
    <s v="Venta de comida"/>
    <x v="20"/>
    <n v="10000"/>
    <n v="0"/>
    <n v="5000"/>
    <n v="5000"/>
    <s v="Programa de apoyo a empresarios minoritarios"/>
  </r>
  <r>
    <s v="FIE60-2021-2022-0235"/>
    <s v="2023-000047"/>
    <x v="48"/>
    <d v="2022-07-20T00:00:00"/>
    <d v="2024-01-19T00:00:00"/>
    <s v="Contract"/>
    <s v="ALEXA PAOLA FIGUEROA "/>
    <s v="CAGUAS"/>
    <s v="Venta de jugos preparados con frutas naturales"/>
    <x v="20"/>
    <n v="4000"/>
    <n v="0"/>
    <n v="0"/>
    <n v="4000"/>
    <s v="Programa de apoyo a empresarios minoritarios"/>
  </r>
  <r>
    <s v="FIE60-2021-2022-0235"/>
    <s v="2023-000048"/>
    <x v="48"/>
    <d v="2022-07-20T00:00:00"/>
    <d v="2024-01-19T00:00:00"/>
    <s v="Contract"/>
    <s v="ITOS, LLC"/>
    <s v="SAN JUAN"/>
    <m/>
    <x v="20"/>
    <n v="10000"/>
    <n v="0"/>
    <n v="5000"/>
    <n v="5000"/>
    <s v="Programa de apoyo a empresarios minoritarios"/>
  </r>
  <r>
    <s v="FIE60-2021-2022-0235"/>
    <s v="2023-000049"/>
    <x v="48"/>
    <d v="2022-07-20T00:00:00"/>
    <d v="2024-01-19T00:00:00"/>
    <s v="Contract"/>
    <s v="MARISOL IRIZARRY BENITEZ"/>
    <s v="LAJAS"/>
    <s v="Servicios de salón de belleza"/>
    <x v="20"/>
    <n v="8061.85"/>
    <n v="0"/>
    <n v="4030.93"/>
    <n v="4030.9200000000005"/>
    <s v="Programa de apoyo a empresarios minoritarios"/>
  </r>
  <r>
    <s v="FIE60-2021-2022-0235"/>
    <s v="2023-000050"/>
    <x v="48"/>
    <d v="2022-07-20T00:00:00"/>
    <d v="2024-01-19T00:00:00"/>
    <s v="Contract"/>
    <s v="CARLOS A. VARGAS GONZALEZ"/>
    <s v="MOCA"/>
    <s v="Venta de helados"/>
    <x v="20"/>
    <n v="10000"/>
    <n v="0"/>
    <n v="5000"/>
    <n v="5000"/>
    <s v="Programa de apoyo a empresarios minoritarios"/>
  </r>
  <r>
    <s v="FIE60-2021-2022-0235"/>
    <s v="2023-000051"/>
    <x v="48"/>
    <d v="2022-07-20T00:00:00"/>
    <d v="2024-01-19T00:00:00"/>
    <s v="Contract"/>
    <s v="AMY RODRIGUEZ SUSTACHE"/>
    <s v="GURABO"/>
    <s v="Venta de café y postres"/>
    <x v="20"/>
    <n v="10000"/>
    <n v="0"/>
    <n v="5000"/>
    <n v="5000"/>
    <s v="Programa de apoyo a empresarios minoritarios"/>
  </r>
  <r>
    <s v="FIE60-2021-2022-0235"/>
    <s v="2023-000052"/>
    <x v="48"/>
    <d v="2022-07-20T00:00:00"/>
    <d v="2024-01-19T00:00:00"/>
    <s v="Contract"/>
    <s v="ANDREA M. AYALA NEGRON"/>
    <s v="CAGUAS"/>
    <s v="Venta de postres"/>
    <x v="20"/>
    <n v="10000"/>
    <n v="0"/>
    <n v="5000"/>
    <n v="5000"/>
    <s v="Programa de apoyo a empresarios minoritarios"/>
  </r>
  <r>
    <s v="FIE60-2021-2022-0235"/>
    <s v="2023-000053"/>
    <x v="48"/>
    <d v="2022-07-20T00:00:00"/>
    <d v="2024-01-19T00:00:00"/>
    <s v="Contract"/>
    <s v="JOSE ANGEL  NEGRON SANTIAGO"/>
    <s v="HATILLO"/>
    <s v="Venta de comida en food truck"/>
    <x v="20"/>
    <n v="7565"/>
    <n v="0"/>
    <n v="7390.82"/>
    <n v="174.18000000000029"/>
    <s v="Programa de apoyo a empresarios minoritarios"/>
  </r>
  <r>
    <s v="FIE60-2021-2022-0074"/>
    <s v="2023-000056"/>
    <x v="59"/>
    <d v="2022-07-21T00:00:00"/>
    <d v="2027-07-20T00:00:00"/>
    <s v="Contract"/>
    <s v="BLUWAVE CORP."/>
    <s v="JUANA DÍAZ"/>
    <s v="Manufactura de cocinas y/o muebles"/>
    <x v="8"/>
    <n v="8400"/>
    <n v="0"/>
    <n v="0"/>
    <n v="8400"/>
    <n v="1.68"/>
  </r>
  <r>
    <s v="FIE60-2021-2022-0225"/>
    <s v="2023-000064"/>
    <x v="68"/>
    <d v="2022-07-22T00:00:00"/>
    <d v="2025-07-21T00:00:00"/>
    <s v="Contract"/>
    <s v="NEGRON ENTERPRISES, LLC"/>
    <s v="HORMIGUEROS"/>
    <s v="Manufactura de bebidas alcohólicas de varios sabores"/>
    <x v="8"/>
    <n v="12000"/>
    <n v="0"/>
    <n v="0"/>
    <n v="12000"/>
    <n v="7.06"/>
  </r>
  <r>
    <s v="FIE60-2021-2022-0226"/>
    <s v="2023-000065"/>
    <x v="68"/>
    <d v="2022-07-22T00:00:00"/>
    <d v="2027-07-21T00:00:00"/>
    <s v="Contract"/>
    <s v="NEGRON ENTERPRISES, LLC"/>
    <s v="HORMIGUEROS"/>
    <s v="Manufactura de bebidas alcohólicas de varios sabores"/>
    <x v="10"/>
    <n v="108639"/>
    <n v="0"/>
    <n v="15750.56"/>
    <n v="92888.44"/>
    <n v="7.06"/>
  </r>
  <r>
    <s v="FIE60-2017-2018-0001"/>
    <s v="2021-000265-A"/>
    <x v="2"/>
    <d v="2022-08-04T00:00:00"/>
    <d v="2026-04-26T00:00:00"/>
    <s v="Contract"/>
    <s v="LOCKHEED MARTIN GLOBAL, INC."/>
    <s v="AGUADILLA"/>
    <s v="Servicio de consultoria administrativa. Apoyo technico de informatica y desarrollo de software"/>
    <x v="9"/>
    <n v="150000"/>
    <n v="0"/>
    <n v="100000"/>
    <n v="50000"/>
    <n v="11.59"/>
  </r>
  <r>
    <s v="FIE60-2021-2022-0185"/>
    <s v="2023-000080"/>
    <x v="69"/>
    <d v="2022-08-04T00:00:00"/>
    <d v="2027-08-03T00:00:00"/>
    <s v="Contract"/>
    <s v="CENTRAL PACKAGING CARIBE, INC."/>
    <s v="MOROVIS"/>
    <s v="Impresos flexograficos     "/>
    <x v="9"/>
    <n v="45000"/>
    <n v="0"/>
    <n v="0"/>
    <n v="45000"/>
    <n v="3.74"/>
  </r>
  <r>
    <s v="FIE60-2021-2022-0206"/>
    <s v="2023-000075"/>
    <x v="70"/>
    <d v="2022-08-04T00:00:00"/>
    <d v="2027-08-03T00:00:00"/>
    <s v="Contract"/>
    <s v="WEST CONTRACT MFG., LLC"/>
    <s v="CIDRA"/>
    <s v="Pieza termoplasticas de alta tecnologia "/>
    <x v="8"/>
    <n v="107500"/>
    <n v="0"/>
    <n v="43500"/>
    <n v="64000"/>
    <n v="4.16"/>
  </r>
  <r>
    <s v="FIE60-2021-2022-0207"/>
    <s v="2023-000076"/>
    <x v="70"/>
    <d v="2022-08-04T00:00:00"/>
    <d v="2027-08-03T00:00:00"/>
    <s v="Contract"/>
    <s v="WEST CONTRACT MFG., LLC"/>
    <s v="CIDRA"/>
    <s v="Pieza termoplasticas de alta tecnologia "/>
    <x v="10"/>
    <n v="4608678"/>
    <n v="0"/>
    <n v="862056.64999999991"/>
    <n v="3746621.35"/>
    <n v="4.16"/>
  </r>
  <r>
    <s v="FIE60-2021-2022-0171"/>
    <s v="2023-000098"/>
    <x v="64"/>
    <d v="2022-08-05T00:00:00"/>
    <d v="2023-08-04T00:00:00"/>
    <s v="Contract"/>
    <s v="LR FOODS,INC."/>
    <s v="BAYAMÓN"/>
    <s v="Procesamiento de productos cárnicos, pescado,salsas y aperitivos"/>
    <x v="8"/>
    <n v="7500"/>
    <n v="0"/>
    <n v="0"/>
    <n v="7500"/>
    <n v="1.28"/>
  </r>
  <r>
    <s v="FIE-2018-2019-IIP-0036"/>
    <s v="2023-000084"/>
    <x v="4"/>
    <d v="2022-08-05T00:00:00"/>
    <d v="2027-08-04T00:00:00"/>
    <s v="Contract"/>
    <s v="DIVA FARM, LLC"/>
    <s v="LARES"/>
    <s v="Hidropónicos"/>
    <x v="5"/>
    <n v="300000"/>
    <n v="0"/>
    <n v="0"/>
    <n v="300000"/>
    <s v="Programa de apoyo a empresarios minoritarios"/>
  </r>
  <r>
    <s v="FIE60-2021-2022-0134"/>
    <s v="2023-000117"/>
    <x v="48"/>
    <d v="2022-08-08T00:00:00"/>
    <d v="2025-05-31T00:00:00"/>
    <s v="Contract"/>
    <s v="KRISTAL R. SANCHEZ PEREZ"/>
    <s v="CAROLINA"/>
    <s v="Beca Teodoro Moscoso Mora"/>
    <x v="16"/>
    <n v="25000"/>
    <n v="0"/>
    <n v="20000"/>
    <n v="5000"/>
    <s v="Programa de apoyo a empresarios minoritarios"/>
  </r>
  <r>
    <s v="FIE60-2021-2022-0134"/>
    <s v="2023-000124"/>
    <x v="48"/>
    <d v="2022-08-08T00:00:00"/>
    <d v="2026-05-31T00:00:00"/>
    <s v="Contract"/>
    <s v="PAOLA N. DEL VALLE ARES"/>
    <s v="BAYAMÓN"/>
    <s v="Beca Teodoro Moscoso Mora"/>
    <x v="16"/>
    <n v="40000"/>
    <n v="0"/>
    <n v="30500"/>
    <n v="9500"/>
    <s v="Programa de apoyo a empresarios minoritarios"/>
  </r>
  <r>
    <s v="FIE60-2021-2022-0221"/>
    <s v="2023-000096"/>
    <x v="68"/>
    <d v="2022-08-10T00:00:00"/>
    <d v="2027-08-09T00:00:00"/>
    <s v="Contract"/>
    <s v="BENITEZ METAL MANUFACTURING, CORP."/>
    <s v="SAN JUAN"/>
    <s v="Equipos deportivos en metal para areas recreativas "/>
    <x v="8"/>
    <n v="2250"/>
    <n v="0"/>
    <n v="0"/>
    <n v="2250"/>
    <n v="1.05"/>
  </r>
  <r>
    <s v="FIE60-2021-2022-0107"/>
    <s v="2022-000307-A"/>
    <x v="54"/>
    <d v="2022-08-12T00:00:00"/>
    <d v="2027-01-27T00:00:00"/>
    <s v="Contract"/>
    <s v="CHEMICAL SOLUTIONS, LLC."/>
    <s v="YABUCOA"/>
    <s v="Manufactura de lubricantes"/>
    <x v="10"/>
    <n v="2300000"/>
    <n v="0"/>
    <n v="138047.23000000001"/>
    <n v="2161952.77"/>
    <n v="9.09"/>
  </r>
  <r>
    <s v="FIE60-2021-2022-0134"/>
    <s v="2023-000110"/>
    <x v="48"/>
    <d v="2022-08-12T00:00:00"/>
    <d v="2024-05-31T00:00:00"/>
    <s v="Contract"/>
    <s v="EDGAR E. CRUZ VALLEJO"/>
    <s v="GURABO"/>
    <s v="Beca Teodoro Moscoso Mora"/>
    <x v="16"/>
    <n v="20000"/>
    <n v="0"/>
    <n v="10000"/>
    <n v="10000"/>
    <s v="Programa de apoyo a empresarios minoritarios"/>
  </r>
  <r>
    <s v="FIE60-2021-2022-0134"/>
    <s v="2023-000111"/>
    <x v="48"/>
    <d v="2022-08-12T00:00:00"/>
    <d v="2024-05-31T00:00:00"/>
    <s v="Contract"/>
    <s v="ENRIQUE JAVIER BILLOCH FLORES"/>
    <s v="SAN JUAN"/>
    <s v="Beca Teodoro Moscoso Mora"/>
    <x v="16"/>
    <n v="25000"/>
    <n v="0"/>
    <n v="20000"/>
    <n v="5000"/>
    <s v="Programa de apoyo a empresarios minoritarios"/>
  </r>
  <r>
    <s v="FIE60-2021-2022-0134"/>
    <s v="2023-000112"/>
    <x v="48"/>
    <d v="2022-08-12T00:00:00"/>
    <d v="2026-05-31T00:00:00"/>
    <s v="Contract"/>
    <s v="GABRIELA DELGADO SANCHEZ"/>
    <s v="TOA ALTA"/>
    <s v="Beca Teodoro Moscoso Mora"/>
    <x v="16"/>
    <n v="40000"/>
    <n v="0"/>
    <n v="30000"/>
    <n v="10000"/>
    <s v="Programa de apoyo a empresarios minoritarios"/>
  </r>
  <r>
    <s v="FIE60-2021-2022-0134"/>
    <s v="2023-000114"/>
    <x v="48"/>
    <d v="2022-08-12T00:00:00"/>
    <d v="2026-05-31T00:00:00"/>
    <s v="Contract"/>
    <s v="JOSE ARTURO MONTALVO RIVERA"/>
    <s v="BARCELONETA"/>
    <s v="Beca Teodoro Moscoso Mora"/>
    <x v="16"/>
    <n v="40000"/>
    <n v="0"/>
    <n v="0"/>
    <n v="40000"/>
    <s v="Programa de apoyo a empresarios minoritarios"/>
  </r>
  <r>
    <s v="FIE60-2021-2022-0134"/>
    <s v="2023-000115"/>
    <x v="48"/>
    <d v="2022-08-12T00:00:00"/>
    <d v="2026-05-31T00:00:00"/>
    <s v="Contract"/>
    <s v="KAMILA A. LABOY CARRION"/>
    <s v="YABUCOA"/>
    <s v="Beca Teodoro Moscoso Mora"/>
    <x v="16"/>
    <n v="40000"/>
    <n v="0"/>
    <n v="30000"/>
    <n v="10000"/>
    <s v="Programa de apoyo a empresarios minoritarios"/>
  </r>
  <r>
    <s v="FIE60-2021-2022-0134"/>
    <s v="2023-000116"/>
    <x v="48"/>
    <d v="2022-08-12T00:00:00"/>
    <d v="2026-05-31T00:00:00"/>
    <s v="Contract"/>
    <s v="CENTRO CULTURAL DR MANUEL QUEVEDO BAEZ"/>
    <s v="CAROLINA"/>
    <s v="Incentivo para el Desarrollo de las Artesanías en PR"/>
    <x v="21"/>
    <n v="40000"/>
    <n v="0"/>
    <n v="35304"/>
    <n v="4696"/>
    <s v="Programa de apoyo a empresarios minoritarios"/>
  </r>
  <r>
    <s v="FIE60-2021-2022-0134"/>
    <s v="2023-000119"/>
    <x v="48"/>
    <d v="2022-08-12T00:00:00"/>
    <d v="2024-05-31T00:00:00"/>
    <s v="Contract"/>
    <s v="MANUEL A. VELEZ SALDANA"/>
    <s v="SAN JUAN"/>
    <s v="Beca Teodoro Moscoso Mora"/>
    <x v="16"/>
    <n v="20000"/>
    <n v="0"/>
    <n v="10000"/>
    <n v="10000"/>
    <s v="Programa de apoyo a empresarios minoritarios"/>
  </r>
  <r>
    <s v="FIE60-2021-2022-0134"/>
    <s v="2023-000121"/>
    <x v="48"/>
    <d v="2022-08-12T00:00:00"/>
    <d v="2025-05-31T00:00:00"/>
    <s v="Contract"/>
    <s v="NATALIA A. VALENTIN RIVERA"/>
    <s v="BARRANQUITAS"/>
    <s v="Beca Teodoro Moscoso Mora"/>
    <x v="16"/>
    <n v="30000"/>
    <n v="0"/>
    <n v="30000"/>
    <n v="0"/>
    <s v="Programa de apoyo a empresarios minoritarios"/>
  </r>
  <r>
    <s v="FIE60-2021-2022-0134"/>
    <s v="2023-000122"/>
    <x v="48"/>
    <d v="2022-08-12T00:00:00"/>
    <d v="2026-05-31T00:00:00"/>
    <s v="Contract"/>
    <s v="NELSON E. VIVES SILVA"/>
    <s v="GUAYAMA"/>
    <s v="Beca Teodoro Moscoso Mora"/>
    <x v="16"/>
    <n v="40000"/>
    <n v="0"/>
    <n v="25000"/>
    <n v="15000"/>
    <s v="Programa de apoyo a empresarios minoritarios"/>
  </r>
  <r>
    <s v="FIE60-2021-2022-0134"/>
    <s v="2023-000123"/>
    <x v="48"/>
    <d v="2022-08-12T00:00:00"/>
    <d v="2025-05-31T00:00:00"/>
    <s v="Contract"/>
    <s v="NICOLE N. ROMAN CORREA"/>
    <s v="HATILLO"/>
    <s v="Beca Teodoro Moscoso Mora"/>
    <x v="16"/>
    <n v="25000"/>
    <n v="0"/>
    <n v="25000"/>
    <n v="0"/>
    <s v="Programa de apoyo a empresarios minoritarios"/>
  </r>
  <r>
    <s v="FIE60-2021-2022-0134"/>
    <s v="2023-000125"/>
    <x v="48"/>
    <d v="2022-08-12T00:00:00"/>
    <d v="2025-05-31T00:00:00"/>
    <s v="Contract"/>
    <s v="YAMARIE RUIZ SERRANO"/>
    <s v="VEGA BAJA"/>
    <s v="Beca Teodoro Moscoso Mora"/>
    <x v="16"/>
    <n v="30000"/>
    <n v="0"/>
    <n v="30000"/>
    <n v="0"/>
    <s v="Programa de apoyo a empresarios minoritarios"/>
  </r>
  <r>
    <s v="FIE60-2021-2022-0244"/>
    <s v="2023-000104"/>
    <x v="48"/>
    <d v="2022-08-15T00:00:00"/>
    <d v="2023-06-30T00:00:00"/>
    <s v="Cancelled"/>
    <s v="COMMON SENSE DESIGNS, LLC"/>
    <s v="GUAYNABO"/>
    <s v="Festival - la ruta, festival urbano"/>
    <x v="14"/>
    <n v="250000"/>
    <n v="250000"/>
    <n v="0"/>
    <n v="0"/>
    <s v="Auspicio.  Contrato vencido."/>
  </r>
  <r>
    <s v="FIE60-2021-2022-0177"/>
    <s v="2023-000141"/>
    <x v="64"/>
    <d v="2022-08-17T00:00:00"/>
    <d v="2025-08-16T00:00:00"/>
    <s v="Contract"/>
    <s v="OIL ENERGY SYSTEMS"/>
    <s v="ARECIBO"/>
    <s v="Reciclaje de aceite y productos relacionados"/>
    <x v="12"/>
    <n v="37500"/>
    <n v="0"/>
    <n v="0"/>
    <n v="37500"/>
    <n v="2.44"/>
  </r>
  <r>
    <s v="FIE60-2021-2022-0178"/>
    <s v="2023-000142"/>
    <x v="64"/>
    <d v="2022-08-17T00:00:00"/>
    <d v="2027-08-16T00:00:00"/>
    <s v="Contract"/>
    <s v="OIL ENERGY SYSTEMS"/>
    <s v="ARECIBO"/>
    <s v="Reciclaje de aceite y productos relacionados"/>
    <x v="10"/>
    <n v="3000000"/>
    <n v="0"/>
    <n v="1385171.42"/>
    <n v="1614828.58"/>
    <n v="2.44"/>
  </r>
  <r>
    <s v="FIE60-2021-2022-0236"/>
    <s v="2023-000128"/>
    <x v="48"/>
    <d v="2022-08-18T00:00:00"/>
    <d v="2023-08-17T00:00:00"/>
    <s v="Contract"/>
    <s v="GIOVANNI LA RUSSA JIMENEZ D/B/A TENTACIONES HOME DECOR"/>
    <s v="SAN JUAN"/>
    <s v="Tienda de artículos de decoración"/>
    <x v="18"/>
    <n v="1425"/>
    <n v="0"/>
    <n v="1291.49"/>
    <n v="133.51"/>
    <s v="Programa de apoyo a empresarios minoritarios"/>
  </r>
  <r>
    <s v="FIE60-2021-2022-0244"/>
    <s v="2023-000130"/>
    <x v="48"/>
    <d v="2022-08-19T00:00:00"/>
    <d v="2023-06-30T00:00:00"/>
    <s v="Contract"/>
    <s v="FROGLAND STUDIOS, LLC"/>
    <s v="SAN JUAN"/>
    <s v="Plataforma para generar nft y mercadearlas"/>
    <x v="14"/>
    <n v="250000"/>
    <n v="0"/>
    <n v="125000"/>
    <n v="125000"/>
    <s v="Auspicio"/>
  </r>
  <r>
    <s v="FE-2018-2019-0107"/>
    <s v="2020-000147-A"/>
    <x v="71"/>
    <d v="2022-08-22T00:00:00"/>
    <d v="2026-09-19T00:00:00"/>
    <s v="Contract"/>
    <s v="COOPERVISION CARIBBEAN CORP."/>
    <s v="JUANA DIAZ"/>
    <s v="Medical device"/>
    <x v="1"/>
    <n v="1320000"/>
    <n v="0"/>
    <n v="440000"/>
    <n v="880000"/>
    <n v="1.24"/>
  </r>
  <r>
    <s v="FIE60-2020-2021-0245"/>
    <s v="2023-000143"/>
    <x v="43"/>
    <d v="2022-08-22T00:00:00"/>
    <d v="2027-08-21T00:00:00"/>
    <s v="Cancelled"/>
    <s v="TEECHEALO LLC"/>
    <s v="LUQUILLO"/>
    <s v="Impresion de ropa"/>
    <x v="8"/>
    <n v="39000"/>
    <n v="39000"/>
    <n v="0"/>
    <n v="0"/>
    <s v="245%.  Finanzas solicito cancelar balance, ya que la empresa no cumplió con la base establecida. 4-21-2025"/>
  </r>
  <r>
    <s v="FIE60-2020-2021-0246"/>
    <s v="2023-000144"/>
    <x v="43"/>
    <d v="2022-08-22T00:00:00"/>
    <d v="2027-08-21T00:00:00"/>
    <s v="Contract"/>
    <s v="TEECHEALO LLC"/>
    <s v="YABUCOA"/>
    <s v="Impresion de ropa"/>
    <x v="10"/>
    <n v="145000"/>
    <n v="0"/>
    <n v="26362.57"/>
    <n v="118637.43"/>
    <n v="2.4500000000000002"/>
  </r>
  <r>
    <s v="FIE60-2020-2021-0247"/>
    <s v="2023-000145"/>
    <x v="43"/>
    <d v="2022-08-22T00:00:00"/>
    <d v="2027-08-21T00:00:00"/>
    <s v="Cancelled"/>
    <s v="TEECHEALO LLC"/>
    <s v="LUQUILLO"/>
    <s v="Impresion de ropa"/>
    <x v="9"/>
    <n v="150000"/>
    <n v="150000"/>
    <n v="0"/>
    <n v="0"/>
    <s v="245%.  Finanzas solicito cancelar balance, ya que la empresa no cumplió con la cláusula de dos años. 4-21-2025"/>
  </r>
  <r>
    <s v="FIE60-2021-2022-0050"/>
    <s v="2023-000147"/>
    <x v="51"/>
    <d v="2022-08-22T00:00:00"/>
    <d v="2027-08-21T00:00:00"/>
    <s v="Contract"/>
    <s v="PRIME AIR CORP"/>
    <s v="CAROLINA"/>
    <s v="Servicios de transportación aérea, marítima, distribución y logística doméstica e internacional"/>
    <x v="10"/>
    <n v="350000"/>
    <n v="0"/>
    <n v="225915.85"/>
    <n v="124084.15"/>
    <n v="6.76"/>
  </r>
  <r>
    <s v="FIE60-2021-2022-0052"/>
    <s v="2023-000146"/>
    <x v="51"/>
    <d v="2022-08-22T00:00:00"/>
    <d v="2027-08-21T00:00:00"/>
    <s v="Contract"/>
    <s v="PRIME AIR CORP"/>
    <s v="CAROLINA"/>
    <s v="Servicios de transportación aérea, marítima, distribución y logística doméstica e internacional"/>
    <x v="12"/>
    <n v="20000"/>
    <n v="0"/>
    <n v="0"/>
    <n v="20000"/>
    <n v="6.76"/>
  </r>
  <r>
    <s v="FIE60-2021-2022-0096"/>
    <s v="2022-000300-A"/>
    <x v="72"/>
    <d v="2022-08-22T00:00:00"/>
    <d v="2025-01-19T00:00:00"/>
    <s v="Contract"/>
    <s v="LA OROCOVEÑA BISCUIT DE PUERTO RICO, INC."/>
    <s v="OROCOVIS"/>
    <s v="Manufactura de productos de repostería"/>
    <x v="8"/>
    <n v="25500"/>
    <n v="0"/>
    <n v="25500"/>
    <n v="0"/>
    <n v="0.11"/>
  </r>
  <r>
    <s v="FIE60-2021-2022-0217"/>
    <s v="2023-000148"/>
    <x v="68"/>
    <d v="2022-08-22T00:00:00"/>
    <d v="2026-08-21T00:00:00"/>
    <s v="Contract"/>
    <s v="AURORITA FOOD AND SPIRITS, LLC"/>
    <s v="SAN JUAN"/>
    <s v="Manufactura de bebidas alcohólicas y manufactura de alimentos"/>
    <x v="8"/>
    <n v="7500"/>
    <n v="0"/>
    <n v="0"/>
    <n v="7500"/>
    <n v="26.47"/>
  </r>
  <r>
    <s v="FIE60-2021-2022-0218"/>
    <s v="2023-000149"/>
    <x v="68"/>
    <d v="2022-08-22T00:00:00"/>
    <d v="2027-08-21T00:00:00"/>
    <s v="Contract"/>
    <s v="AURORITA FOOD AND SPIRITS, LLC"/>
    <s v="SAN JUAN"/>
    <s v="Manufactura de bebidas alcohólicas y manufactura de alimentos"/>
    <x v="10"/>
    <n v="70000"/>
    <n v="0"/>
    <n v="0"/>
    <n v="70000"/>
    <n v="26.47"/>
  </r>
  <r>
    <s v="FE-2017-2018-0029"/>
    <s v="2019-000225-D"/>
    <x v="3"/>
    <d v="2022-08-26T00:00:00"/>
    <d v="2023-12-31T00:00:00"/>
    <s v="Contract"/>
    <s v="STRYKER PR, INC."/>
    <s v="ARROYO"/>
    <s v="Manufacture of surgical products"/>
    <x v="2"/>
    <n v="5500000"/>
    <n v="0"/>
    <n v="5311874.32"/>
    <n v="188125.6799999997"/>
    <n v="23.58"/>
  </r>
  <r>
    <s v="FIE60-2021-2022-0244"/>
    <s v="2023-000158"/>
    <x v="48"/>
    <d v="2022-08-26T00:00:00"/>
    <d v="2023-06-30T00:00:00"/>
    <s v="Contract"/>
    <s v="TCG CREATIVE GROUP LLC"/>
    <s v="GUAYNABO"/>
    <s v="Exhibición urbanolnd"/>
    <x v="14"/>
    <n v="250000"/>
    <n v="0"/>
    <n v="150000"/>
    <n v="100000"/>
    <s v="Auspicio"/>
  </r>
  <r>
    <s v="FIE-2018-2019-IIP-0036"/>
    <s v="2021-000002-A"/>
    <x v="4"/>
    <d v="2022-08-31T00:00:00"/>
    <d v="2025-07-05T00:00:00"/>
    <s v="Contract"/>
    <s v="CORDEX AGRO, LLC"/>
    <s v="SAN JUAN"/>
    <s v="Alimentos"/>
    <x v="5"/>
    <n v="131068.27"/>
    <n v="0"/>
    <n v="39321.82"/>
    <n v="91746.450000000012"/>
    <s v="Programa de apoyo a empresarios minoritarios"/>
  </r>
  <r>
    <s v="FIE60-2021-2022-0123"/>
    <s v="2022-000452-A"/>
    <x v="57"/>
    <d v="2022-08-31T00:00:00"/>
    <d v="2027-04-18T00:00:00"/>
    <s v="Contract"/>
    <s v="PREMIERE CHEMICAL COMPANY CORP"/>
    <s v="CATAÑO"/>
    <s v="Manufactura de productos de limpieza industrial"/>
    <x v="10"/>
    <n v="31650"/>
    <n v="0"/>
    <n v="0"/>
    <n v="31650"/>
    <n v="6.46"/>
  </r>
  <r>
    <s v="FIE60-2021-2022-0117"/>
    <s v="2023-000201"/>
    <x v="57"/>
    <d v="2022-09-12T00:00:00"/>
    <d v="2027-09-11T00:00:00"/>
    <s v="Contract"/>
    <s v="MC GREEN SOLUTIONS, LLC"/>
    <s v="FLORIDA"/>
    <s v="Calentadores solares"/>
    <x v="8"/>
    <n v="12000"/>
    <n v="0"/>
    <n v="1999.98"/>
    <n v="10000.02"/>
    <n v="4.28"/>
  </r>
  <r>
    <s v="FIE-2018-2019-IIP-0036"/>
    <s v="2023-000203"/>
    <x v="4"/>
    <d v="2022-09-12T00:00:00"/>
    <d v="2027-09-11T00:00:00"/>
    <s v="Contract"/>
    <s v="DM FARMS, LLC"/>
    <s v="VEGA ALTA"/>
    <s v="Siembra y cultivo de pimientos"/>
    <x v="5"/>
    <n v="32500"/>
    <n v="0"/>
    <n v="0"/>
    <n v="32500"/>
    <s v="Programa de apoyo a empresarios minoritarios"/>
  </r>
  <r>
    <s v="FIE60-2020-2021-0278"/>
    <s v="2022-000587-A"/>
    <x v="49"/>
    <d v="2022-09-15T00:00:00"/>
    <d v="2027-06-22T00:00:00"/>
    <s v="Contract"/>
    <s v="RUBIDEX SERVICES LLC"/>
    <s v="SAN JUAN"/>
    <s v="Software development"/>
    <x v="10"/>
    <n v="2500000"/>
    <n v="0"/>
    <n v="0"/>
    <n v="2500000"/>
    <n v="2.12"/>
  </r>
  <r>
    <s v="FIE60-2021-2022-0256"/>
    <s v="2023-000225"/>
    <x v="73"/>
    <d v="2022-09-15T00:00:00"/>
    <d v="2027-09-14T00:00:00"/>
    <s v="Contract"/>
    <s v="QUALITY GLAZING CONTRACTORS, INC."/>
    <s v="SAN JUAN"/>
    <s v="Manufactura de productos en aluminio y relacionados"/>
    <x v="8"/>
    <n v="16500"/>
    <n v="0"/>
    <n v="0"/>
    <n v="16500"/>
    <n v="6.25"/>
  </r>
  <r>
    <s v="FIE60-2021-2022-0056"/>
    <s v="2023-000379"/>
    <x v="74"/>
    <d v="2022-09-26T00:00:00"/>
    <d v="2027-09-25T00:00:00"/>
    <s v="Contract"/>
    <s v="PATHEON PUERTO RICO, INC"/>
    <s v="MANATÍ"/>
    <s v="Productos farmacéuticos"/>
    <x v="12"/>
    <n v="155000"/>
    <n v="0"/>
    <n v="93000"/>
    <n v="62000"/>
    <n v="47.76"/>
  </r>
  <r>
    <s v="FIE60-2021-2022-0201"/>
    <s v="2023-000380"/>
    <x v="65"/>
    <d v="2022-09-27T00:00:00"/>
    <d v="2026-09-20T00:00:00"/>
    <s v="Contract"/>
    <s v="SUN IS LIFE OF PUERTO RICO, INC."/>
    <s v="SAN JUAN"/>
    <s v="Manufactura de calentadadores  solares, cisternas y tanques para agua y productos relacionados"/>
    <x v="12"/>
    <n v="6750"/>
    <n v="0"/>
    <n v="0"/>
    <n v="6750"/>
    <n v="11.15"/>
  </r>
  <r>
    <s v="FIE60-2022-2023-0025"/>
    <s v="2023-000502"/>
    <x v="55"/>
    <d v="2022-09-30T00:00:00"/>
    <d v="2025-09-29T00:00:00"/>
    <s v="Contract"/>
    <s v="ROBERTO MALDONADO RODRIGUEZ"/>
    <s v="SAN JUAN"/>
    <s v="Madera, talla caballito de pica"/>
    <x v="15"/>
    <n v="1784"/>
    <n v="0"/>
    <n v="1000"/>
    <n v="784"/>
    <s v="Programa de apoyo a empresarios minoritarios"/>
  </r>
  <r>
    <s v="FIE60-2022-2023-0013"/>
    <s v="2023-000355"/>
    <x v="55"/>
    <d v="2022-10-03T00:00:00"/>
    <d v="2027-10-02T00:00:00"/>
    <s v="Contract"/>
    <s v="FOGEL CARIBBEAN CORPORATION"/>
    <s v="AGUADILLA"/>
    <s v="Manufactura de refrigeradores y congeladores comerciales e institucionales de alta eficiencia"/>
    <x v="10"/>
    <n v="100000"/>
    <n v="0"/>
    <n v="53636.68"/>
    <n v="46363.32"/>
    <n v="6.12"/>
  </r>
  <r>
    <s v="FIE60-2022-2023-0036"/>
    <s v="2023-000837"/>
    <x v="55"/>
    <d v="2022-10-05T00:00:00"/>
    <d v="2025-10-04T00:00:00"/>
    <s v="Contract"/>
    <s v="NC QUALITY PARTS, LLC"/>
    <s v="SAN JUAN"/>
    <s v="Desarrollo de web-app"/>
    <x v="17"/>
    <n v="100000"/>
    <n v="0"/>
    <n v="50000"/>
    <n v="50000"/>
    <s v="Programa de apoyo a empresarios minoritarios"/>
  </r>
  <r>
    <s v="FIE60-2021-2022-0113"/>
    <s v="2023-000838"/>
    <x v="57"/>
    <d v="2022-10-07T00:00:00"/>
    <d v="2025-09-30T00:00:00"/>
    <s v="Contract"/>
    <s v="GARRIGA TRADING COMPANY, INC."/>
    <s v="BAYAMÓN"/>
    <s v="Manufactura de rotulos y relacionados"/>
    <x v="8"/>
    <n v="21500"/>
    <n v="0"/>
    <n v="8400"/>
    <n v="13100"/>
    <n v="9.2799999999999994"/>
  </r>
  <r>
    <s v="FIE60-2022-2023-0016"/>
    <s v="2023-000840"/>
    <x v="55"/>
    <d v="2022-10-07T00:00:00"/>
    <d v="2025-10-06T00:00:00"/>
    <s v="Contract"/>
    <s v="LMM FOOD GROUP CORP. "/>
    <s v="HORMIGUEROS"/>
    <s v="Torrefaccion de cafe"/>
    <x v="8"/>
    <n v="5625"/>
    <n v="0"/>
    <n v="0"/>
    <n v="5625"/>
    <n v="1.03"/>
  </r>
  <r>
    <s v="FIE60-2022-2023-0044"/>
    <s v="2023-001570"/>
    <x v="75"/>
    <d v="2022-10-25T00:00:00"/>
    <d v="2027-10-24T00:00:00"/>
    <s v="Cancelled"/>
    <s v="MISTOLIN CARIBE INC."/>
    <s v="BAYAMON"/>
    <s v="Detergentes"/>
    <x v="8"/>
    <n v="50009"/>
    <n v="50009"/>
    <n v="0"/>
    <n v="0"/>
    <s v="196%.  Finanzas solicita cancelar balance, ya que la industria incumple con el contrato 4-10-2025"/>
  </r>
  <r>
    <s v="FIE60-2022-2023-0045"/>
    <s v="2023-001571"/>
    <x v="75"/>
    <d v="2022-10-25T00:00:00"/>
    <d v="2024-10-24T00:00:00"/>
    <s v="Contract"/>
    <s v="MISTOLIN CARIBE INC."/>
    <s v="BAYAMON"/>
    <s v="Detergentes"/>
    <x v="10"/>
    <n v="450000"/>
    <n v="0"/>
    <n v="225000"/>
    <n v="225000"/>
    <n v="1.96"/>
  </r>
  <r>
    <s v="FIE60-2022-2023-0046"/>
    <s v="2023-001572"/>
    <x v="75"/>
    <d v="2022-10-25T00:00:00"/>
    <d v="2024-12-31T00:00:00"/>
    <s v="Contract"/>
    <s v="MISTOLIN CARIBE INC."/>
    <s v="BAYAMON"/>
    <s v="Detergentes"/>
    <x v="12"/>
    <n v="150000"/>
    <n v="0"/>
    <n v="150000"/>
    <n v="0"/>
    <n v="1.96"/>
  </r>
  <r>
    <s v="FIE60-2022-2023-0049"/>
    <s v="2023-001523"/>
    <x v="76"/>
    <d v="2022-10-31T00:00:00"/>
    <d v="2025-06-30T00:00:00"/>
    <s v="Contract"/>
    <s v=" WOMEN IN BUSINESS, INC."/>
    <s v="Varios"/>
    <s v="Varias"/>
    <x v="22"/>
    <n v="10000"/>
    <n v="0"/>
    <n v="0"/>
    <n v="10000"/>
    <s v="Programa de apoyo a empresarios minoritarios"/>
  </r>
  <r>
    <s v="FIE60-2021-2022-0174"/>
    <s v="2023-001573"/>
    <x v="64"/>
    <d v="2022-11-01T00:00:00"/>
    <d v="2027-10-31T00:00:00"/>
    <s v="Contract"/>
    <s v="LAJ INVESTMENT  &amp; MANAGEMENT, LLC"/>
    <s v="MAYAGÜEZ"/>
    <s v="Elaboración de postres congelados, helados y sorbet"/>
    <x v="10"/>
    <n v="49200"/>
    <n v="0"/>
    <n v="3000"/>
    <n v="46200"/>
    <n v="3.03"/>
  </r>
  <r>
    <s v="FIE60-2022-2023-0011"/>
    <s v="2023-001575"/>
    <x v="77"/>
    <d v="2022-11-01T00:00:00"/>
    <d v="2027-10-31T00:00:00"/>
    <s v="Contract"/>
    <s v="EMPANADAS ARGENTINAS DÉLPORTENO LLC"/>
    <s v="SABANA GRANDE"/>
    <s v="Elaboracion de empanadas argentinas"/>
    <x v="10"/>
    <n v="25000"/>
    <n v="0"/>
    <n v="3821.22"/>
    <n v="21178.78"/>
    <n v="2.77"/>
  </r>
  <r>
    <s v="FIE60-2022-2023-0012"/>
    <s v="2023-001574"/>
    <x v="77"/>
    <d v="2022-11-01T00:00:00"/>
    <d v="2027-10-31T00:00:00"/>
    <s v="Contract"/>
    <s v="EMPANADAS ARGENTINAS DÉLPORTENO LLC"/>
    <s v="SABANA GRANDE"/>
    <s v="Elaboracion de empanadas argentinas"/>
    <x v="8"/>
    <n v="7500"/>
    <n v="0"/>
    <n v="1000"/>
    <n v="6500"/>
    <n v="2.77"/>
  </r>
  <r>
    <s v="FIE60-2022-2023-0041"/>
    <s v="2023-001796"/>
    <x v="78"/>
    <d v="2022-11-10T00:00:00"/>
    <d v="2027-11-09T00:00:00"/>
    <s v="Contract"/>
    <s v="RICARDO ERANS DBA HIDROPÓNICOS ERANS  "/>
    <s v="PONCE"/>
    <s v="Variedad de lechugas, entre otros cultivos"/>
    <x v="23"/>
    <n v="52982"/>
    <n v="0"/>
    <n v="0"/>
    <n v="52982"/>
    <s v="Programa de apoyo a empresarios minoritarios"/>
  </r>
  <r>
    <s v="FE-2019-2020-0072"/>
    <s v="2021-000328-A"/>
    <x v="26"/>
    <d v="2022-11-11T00:00:00"/>
    <d v="2026-05-26T00:00:00"/>
    <s v="Cancelled"/>
    <s v="HUBBELL CARIBE  LIMITED"/>
    <s v="VEGA BAJA"/>
    <s v="Manufacturing of high quality electrical wiring and connections devices"/>
    <x v="1"/>
    <n v="1288000"/>
    <n v="812400"/>
    <n v="475600"/>
    <n v="0"/>
    <n v="4.79"/>
  </r>
  <r>
    <s v="FE-2019-2020-0073"/>
    <s v="2021-000330-A"/>
    <x v="26"/>
    <d v="2022-11-11T00:00:00"/>
    <d v="2026-05-26T00:00:00"/>
    <s v="Contract"/>
    <s v="HUBBELL CARIBE  LIMITED"/>
    <s v="VEGA BAJA"/>
    <s v="Manufacturing of high quality electrical wiring and connections devices"/>
    <x v="2"/>
    <n v="300000"/>
    <n v="0"/>
    <n v="99148.5"/>
    <n v="200851.5"/>
    <n v="4.79"/>
  </r>
  <r>
    <s v="FIE60-2022-2023-0025"/>
    <s v="2023-001797"/>
    <x v="55"/>
    <d v="2022-11-15T00:00:00"/>
    <d v="2025-11-14T00:00:00"/>
    <s v="Contract"/>
    <s v="MOJICA ORTIZ, MARGARITA"/>
    <s v="TOA ALTA"/>
    <s v="Artesana en el renglón de yaguas/piedra/coco, estampas típicas pintadas, pajilla, tejido de muebles. Compra de materiales de construcción para el taller."/>
    <x v="15"/>
    <n v="1802.88"/>
    <n v="0"/>
    <n v="1634.42"/>
    <n v="168.46000000000004"/>
    <s v="Programa de apoyo a empresarios minoritarios"/>
  </r>
  <r>
    <s v="FIE60-2021-2022-0134"/>
    <s v="2023-000120-A"/>
    <x v="48"/>
    <d v="2022-11-16T00:00:00"/>
    <d v="2025-05-31T00:00:00"/>
    <s v="Contract"/>
    <s v="MARCOS RODRIGUEZ NUNEZ"/>
    <s v="SAN JUAN"/>
    <s v="Beca Teodoro Moscoso Mora"/>
    <x v="16"/>
    <n v="30000"/>
    <n v="0"/>
    <n v="20000"/>
    <n v="10000"/>
    <s v="Programa de apoyo a empresarios minoritarios"/>
  </r>
  <r>
    <s v="FIE60-2021-2022-0134"/>
    <s v="2023-000113-A"/>
    <x v="48"/>
    <d v="2022-11-18T00:00:00"/>
    <d v="2025-05-31T00:00:00"/>
    <s v="Contract"/>
    <s v="JAMES L. CRUZ PEREZ"/>
    <s v="HATILLO"/>
    <s v="Beca Teodoro Moscoso Mora"/>
    <x v="16"/>
    <n v="30000"/>
    <n v="0"/>
    <n v="20000"/>
    <n v="10000"/>
    <s v="Programa de apoyo a empresarios minoritarios"/>
  </r>
  <r>
    <s v="FIE60-2021-2022-0212"/>
    <s v="2023-001934"/>
    <x v="79"/>
    <d v="2022-11-23T00:00:00"/>
    <d v="2027-11-22T00:00:00"/>
    <s v="Contract"/>
    <s v="AMERICAN LIGHTWEIGHT MATERIALS MANUFACTURING INNOVATION INSTITUTE (LIFT)"/>
    <s v="SAN JUAN"/>
    <s v="Lift-instituto nacional de innovación en manufactura"/>
    <x v="6"/>
    <n v="2000000"/>
    <n v="0"/>
    <n v="875000"/>
    <n v="1125000"/>
    <s v="Apoyo empresarial"/>
  </r>
  <r>
    <s v="FIE60-2021-2022-0232"/>
    <s v="2023-001935"/>
    <x v="66"/>
    <d v="2022-11-23T00:00:00"/>
    <d v="2027-11-22T00:00:00"/>
    <s v="Cancelled"/>
    <s v="RE-SYNTH NEW HORIZONS LLC"/>
    <s v="PEÑUELAS"/>
    <s v="Producción de combustibles sintéticos"/>
    <x v="12"/>
    <n v="480000"/>
    <n v="480000"/>
    <n v="0"/>
    <n v="0"/>
    <n v="6.76"/>
  </r>
  <r>
    <s v="FIE60-2021-2022-0233"/>
    <s v="2023-001936"/>
    <x v="66"/>
    <d v="2022-11-23T00:00:00"/>
    <d v="2029-11-22T00:00:00"/>
    <s v="Cancelled"/>
    <s v="RE-SYNTH NEW HORIZONS LLC"/>
    <s v="PEÑUELAS"/>
    <s v="Producción de combustibles sintéticos"/>
    <x v="10"/>
    <n v="4000000"/>
    <n v="4000000"/>
    <n v="0"/>
    <n v="0"/>
    <n v="6.76"/>
  </r>
  <r>
    <s v="FE-2019-2020-0069"/>
    <s v="2023-001929"/>
    <x v="26"/>
    <d v="2022-11-23T00:00:00"/>
    <d v="2027-11-22T00:00:00"/>
    <s v="Contract"/>
    <s v="PRECISION WORX LLC"/>
    <s v="FAJARDO"/>
    <s v="Manufactura por contrato de impresión 3d en metal a las empresas de aeroespacial y dispositivos médicos"/>
    <x v="1"/>
    <n v="60000"/>
    <n v="0"/>
    <n v="0"/>
    <n v="60000"/>
    <n v="-0.55000000000000004"/>
  </r>
  <r>
    <s v="FE-2019-2020-0106"/>
    <s v="2023-001931"/>
    <x v="26"/>
    <d v="2022-11-23T00:00:00"/>
    <d v="2027-11-22T00:00:00"/>
    <s v="Contract"/>
    <s v="PRECISION WORX LLC"/>
    <s v="FAJARDO"/>
    <s v="Manufactura por contrato de impresión 3d en metal a las empresas de aeroespacial y dispositivos médicos"/>
    <x v="2"/>
    <n v="1000000"/>
    <n v="0"/>
    <n v="0"/>
    <n v="1000000"/>
    <n v="-0.55000000000000004"/>
  </r>
  <r>
    <s v="FIE60-2022-2023-0052"/>
    <s v="2023-001932"/>
    <x v="80"/>
    <d v="2022-11-23T00:00:00"/>
    <d v="2027-11-22T00:00:00"/>
    <s v="Contract"/>
    <s v="ST. JUDE MEDICAL PUERTO RICO, LLC."/>
    <s v="ARECIBO"/>
    <s v="Manufactura de dispositivo medico de terapia cardiaca (pace maker)"/>
    <x v="8"/>
    <n v="63000"/>
    <n v="0"/>
    <n v="0"/>
    <n v="63000"/>
    <n v="-53.95"/>
  </r>
  <r>
    <s v="FIE60-2022-2023-0018"/>
    <s v="2023-001882"/>
    <x v="55"/>
    <d v="2022-11-30T00:00:00"/>
    <d v="2027-11-29T00:00:00"/>
    <s v="Contract"/>
    <s v="ORNAMENTACION QUINTANA, INC."/>
    <s v="DORADO"/>
    <s v="Productos derivados de cemento"/>
    <x v="10"/>
    <n v="50000"/>
    <n v="0"/>
    <n v="43622"/>
    <n v="6378"/>
    <n v="8.9499999999999993"/>
  </r>
  <r>
    <s v="FIE60-2022-2023-0024"/>
    <s v="2023-001938"/>
    <x v="55"/>
    <d v="2022-12-05T00:00:00"/>
    <d v="2027-12-04T00:00:00"/>
    <s v="Contract"/>
    <s v="VF ALUMINUM CORP."/>
    <s v="CIDRA"/>
    <s v="Puertas, ventanas, &quot;screens&quot;"/>
    <x v="10"/>
    <n v="14010"/>
    <n v="0"/>
    <n v="0"/>
    <n v="14010"/>
    <n v="10.78"/>
  </r>
  <r>
    <s v="FIE60-2021-2022-0219"/>
    <s v="2023-001939"/>
    <x v="68"/>
    <d v="2022-12-08T00:00:00"/>
    <d v="2027-12-07T00:00:00"/>
    <s v="Contract"/>
    <s v="ALCO STEEL MANUFACTURING LLC"/>
    <s v="ARECIBO"/>
    <s v="Manufactura de estructuras en acero"/>
    <x v="8"/>
    <n v="37500"/>
    <n v="0"/>
    <n v="0"/>
    <n v="37500"/>
    <n v="1.22"/>
  </r>
  <r>
    <s v="FE-2019-2020-0011"/>
    <s v="2020-000253-A"/>
    <x v="13"/>
    <d v="2022-12-09T00:00:00"/>
    <d v="2026-11-26T00:00:00"/>
    <s v="Contract"/>
    <s v="CONGAR INTERNATIONAL CORP."/>
    <s v="CAYEY"/>
    <s v="Cigars                                                                          "/>
    <x v="3"/>
    <n v="4287600"/>
    <n v="0"/>
    <n v="1429200"/>
    <n v="2858400"/>
    <n v="2.2200000000000002"/>
  </r>
  <r>
    <s v="FIE60-2022-2023-0050"/>
    <s v="2023-001921"/>
    <x v="55"/>
    <d v="2022-12-14T00:00:00"/>
    <d v="2024-06-13T00:00:00"/>
    <s v="Contract"/>
    <s v="BLESSINGS CAFE"/>
    <s v="QUEBRADILLAS"/>
    <s v="Venta de alimentos"/>
    <x v="24"/>
    <n v="6731.48"/>
    <n v="0"/>
    <n v="3365.74"/>
    <n v="3365.74"/>
    <s v="Programa de apoyo a empresarios minoritarios"/>
  </r>
  <r>
    <s v="FIE60-2022-2023-0050"/>
    <s v="2023-001922"/>
    <x v="55"/>
    <d v="2022-12-14T00:00:00"/>
    <d v="2024-06-13T00:00:00"/>
    <s v="Contract"/>
    <s v="ZULLIRMA MENDEZ HERNANDEZ"/>
    <s v="AGUADILLA"/>
    <s v="Oficina de servicios-consultoría legal"/>
    <x v="24"/>
    <n v="6306.33"/>
    <n v="0"/>
    <n v="5882.79"/>
    <n v="423.53999999999996"/>
    <s v="Programa de apoyo a empresarios minoritarios"/>
  </r>
  <r>
    <s v="FIE60-2022-2023-0050"/>
    <s v="2023-001923"/>
    <x v="55"/>
    <d v="2022-12-14T00:00:00"/>
    <d v="2024-06-13T00:00:00"/>
    <s v="Cancelled"/>
    <s v="GILBERTO MALDONADO DELGADO"/>
    <s v="HATILLO"/>
    <s v="Venta de perfumes y accesorios"/>
    <x v="24"/>
    <n v="10000"/>
    <n v="25.62"/>
    <n v="9974.380000000001"/>
    <n v="0"/>
    <s v="Programa de apoyo a empresarios minoritarios.  Fianazas solicitó cancelar balance de $25.62 al 4-10-2025"/>
  </r>
  <r>
    <s v="FIE60-2022-2023-0050"/>
    <s v="2023-001924"/>
    <x v="55"/>
    <d v="2022-12-14T00:00:00"/>
    <d v="2024-06-13T00:00:00"/>
    <s v="Contract"/>
    <s v="LISMARY CRUZ HERNANDEZ"/>
    <s v="OROCOVIS"/>
    <s v="Oficina de servicios-gestoría"/>
    <x v="24"/>
    <n v="10000"/>
    <n v="0"/>
    <n v="6714.35"/>
    <n v="3285.6499999999996"/>
    <s v="Programa de apoyo a empresarios minoritarios"/>
  </r>
  <r>
    <s v="FIE60-2021-2022-0147"/>
    <s v="2023-001913"/>
    <x v="60"/>
    <d v="2022-12-15T00:00:00"/>
    <d v="2027-12-14T00:00:00"/>
    <s v="Cancelled"/>
    <s v="SARTORIUS PUERTO RICO, INC."/>
    <s v="YAUCO"/>
    <s v="Filtros de membrana para industria farmaceutica     "/>
    <x v="6"/>
    <n v="5525000"/>
    <n v="4728000"/>
    <n v="797000"/>
    <n v="0"/>
    <s v="245%.  Oficina de Finanzas cenceló por incumplimiento en base anual 5-16-2025"/>
  </r>
  <r>
    <s v="FIE60-2021-2022-0148"/>
    <s v="2023-001914"/>
    <x v="60"/>
    <d v="2022-12-15T00:00:00"/>
    <d v="2027-12-14T00:00:00"/>
    <s v="Contract"/>
    <s v="SARTORIUS PUERTO RICO, INC."/>
    <s v="YAUCO"/>
    <s v="Filtros de membrana para industria farmaceutica     "/>
    <x v="10"/>
    <n v="28000000"/>
    <n v="0"/>
    <n v="4812400.1099999994"/>
    <n v="23187599.890000001"/>
    <n v="2.4500000000000002"/>
  </r>
  <r>
    <s v="FIE60-2022-2023-0067"/>
    <s v="2023-001912"/>
    <x v="81"/>
    <d v="2022-12-19T00:00:00"/>
    <d v="2027-12-18T00:00:00"/>
    <s v="Contract"/>
    <s v="JENNIFER PAGAN RODRIGUEZ DBA FINCA BUENAVENTURA"/>
    <s v="ADJUNTAS"/>
    <s v="Lechugas, cilantrillo, ajíes y pimientos"/>
    <x v="23"/>
    <n v="90525"/>
    <n v="0"/>
    <n v="0"/>
    <n v="90525"/>
    <s v="Programa de apoyo a empresarios minoritarios"/>
  </r>
  <r>
    <s v="FIE60-2022-2023-0025"/>
    <s v="2023-001916"/>
    <x v="55"/>
    <d v="2022-12-19T00:00:00"/>
    <d v="2025-12-18T00:00:00"/>
    <s v="Contract"/>
    <s v="ALEX RIOS FERNANDEZ"/>
    <s v="BAYAMÓN"/>
    <s v="Madera (talla de aves)"/>
    <x v="15"/>
    <n v="1172.04"/>
    <n v="0"/>
    <n v="745.38"/>
    <n v="426.65999999999997"/>
    <s v="Programa de apoyo a empresarios minoritarios"/>
  </r>
  <r>
    <s v="FIE60-2022-2023-0025"/>
    <s v="2023-001917"/>
    <x v="55"/>
    <d v="2022-12-19T00:00:00"/>
    <d v="2025-12-18T00:00:00"/>
    <s v="Contract"/>
    <s v="ROBERTO DEL VALLE CARDONA"/>
    <s v="VEGA BAJA"/>
    <s v="Barro (cerámica)"/>
    <x v="15"/>
    <n v="1143.99"/>
    <n v="0"/>
    <n v="0"/>
    <n v="1143.99"/>
    <s v="Programa de apoyo a empresarios minoritarios"/>
  </r>
  <r>
    <s v="FIE60-2022-2023-0025"/>
    <s v="2023-001918"/>
    <x v="55"/>
    <d v="2022-12-19T00:00:00"/>
    <d v="2025-12-18T00:00:00"/>
    <s v="Contract"/>
    <s v="GERSON ALVARADO FERNANDEZ"/>
    <s v="BAYAMÓN"/>
    <s v="Cuero (accesorios), coco y madera (calado)"/>
    <x v="15"/>
    <n v="2000"/>
    <n v="0"/>
    <n v="0"/>
    <n v="2000"/>
    <s v="Programa de apoyo a empresarios minoritarios"/>
  </r>
  <r>
    <s v="FIE60-2022-2023-0021"/>
    <s v="2023-001961"/>
    <x v="55"/>
    <d v="2022-12-27T00:00:00"/>
    <d v="2027-12-26T00:00:00"/>
    <s v="Contract"/>
    <s v="SONIA I. ROMAN H/N/C CLARO CASA METAL"/>
    <s v="ISABELA"/>
    <s v="Cortinas y productos tapizados"/>
    <x v="8"/>
    <n v="15000"/>
    <n v="0"/>
    <n v="7500"/>
    <n v="7500"/>
    <n v="1.1299999999999999"/>
  </r>
  <r>
    <s v="FIE60-2021-2022-0134"/>
    <s v="2023-001960"/>
    <x v="48"/>
    <d v="2022-12-27T00:00:00"/>
    <d v="2027-05-31T00:00:00"/>
    <s v="Contract"/>
    <s v="KARLA MICHELLE PINEIRO LEON"/>
    <s v="TOA ALTA"/>
    <s v="Beca Teodoro Moscoso Mora"/>
    <x v="16"/>
    <n v="40000"/>
    <n v="0"/>
    <n v="25000"/>
    <n v="15000"/>
    <s v="Programa de apoyo a empresarios minoritarios"/>
  </r>
  <r>
    <s v="FIE60-2022-2023-0050"/>
    <s v="2023-001968"/>
    <x v="55"/>
    <d v="2023-01-09T00:00:00"/>
    <d v="2024-07-08T00:00:00"/>
    <s v="Contract"/>
    <s v="ALEX MEDINA BONILLA DBA LA GUARAPERA "/>
    <s v="AGUADA"/>
    <s v="Venta de jugos derivados del guarapo"/>
    <x v="24"/>
    <n v="10000"/>
    <n v="0"/>
    <n v="5000"/>
    <n v="5000"/>
    <s v="Programa de apoyo a empresarios minoritarios"/>
  </r>
  <r>
    <s v="FIE60-2022-2023-0050"/>
    <s v="2023-001969"/>
    <x v="55"/>
    <d v="2023-01-09T00:00:00"/>
    <d v="2024-07-08T00:00:00"/>
    <s v="Contract"/>
    <s v="CHAMPION CORPORATION"/>
    <s v="MOCA"/>
    <m/>
    <x v="24"/>
    <n v="10000"/>
    <n v="0"/>
    <n v="5000"/>
    <n v="5000"/>
    <s v="Programa de apoyo a empresarios minoritarios"/>
  </r>
  <r>
    <s v="FIE60-2022-2023-0050"/>
    <s v="2023-001970"/>
    <x v="55"/>
    <d v="2023-01-09T00:00:00"/>
    <d v="2024-07-08T00:00:00"/>
    <s v="Contract"/>
    <s v="CARLOS RODRIGUEZ GONZALEZ"/>
    <s v="MAYAGÜEZ"/>
    <s v="Restaurante, cafetería"/>
    <x v="24"/>
    <n v="10000"/>
    <n v="0"/>
    <n v="9010.64"/>
    <n v="989.36000000000058"/>
    <s v="Programa de apoyo a empresarios minoritarios"/>
  </r>
  <r>
    <s v="FIE60-2022-2023-0050"/>
    <s v="2023-001971"/>
    <x v="55"/>
    <d v="2023-01-09T00:00:00"/>
    <d v="2024-07-08T00:00:00"/>
    <s v="Contract"/>
    <s v="PONCE WATER ATTRACTIONS LLC"/>
    <s v="PONCE"/>
    <m/>
    <x v="24"/>
    <n v="10000"/>
    <n v="0"/>
    <n v="7365.45"/>
    <n v="2634.55"/>
    <s v="Programa de apoyo a empresarios minoritarios"/>
  </r>
  <r>
    <s v="FIE60-2022-2023-0050"/>
    <s v="2023-001972"/>
    <x v="55"/>
    <d v="2023-01-09T00:00:00"/>
    <d v="2024-07-08T00:00:00"/>
    <s v="Contract"/>
    <s v="O &amp; G BLESS VISION LLC"/>
    <s v="PONCE"/>
    <m/>
    <x v="24"/>
    <n v="10000"/>
    <n v="0"/>
    <n v="5000"/>
    <n v="5000"/>
    <s v="Programa de apoyo a empresarios minoritarios"/>
  </r>
  <r>
    <s v="FIE60-2022-2023-0050"/>
    <s v="2023-001973"/>
    <x v="55"/>
    <d v="2023-01-09T00:00:00"/>
    <d v="2024-07-08T00:00:00"/>
    <s v="Contract"/>
    <s v="HS AMBULANCE SERVICES, LLC"/>
    <s v="GUAYAMA"/>
    <m/>
    <x v="24"/>
    <n v="10000"/>
    <n v="0"/>
    <n v="5000"/>
    <n v="5000"/>
    <s v="Programa de apoyo a empresarios minoritarios"/>
  </r>
  <r>
    <s v="FIE60-2022-2023-0050"/>
    <s v="2023-001974"/>
    <x v="55"/>
    <d v="2023-01-09T00:00:00"/>
    <d v="2024-07-08T00:00:00"/>
    <s v="Contract"/>
    <s v="WHERE TO GO"/>
    <s v="MAYAGÜEZ"/>
    <s v="Restaurante"/>
    <x v="24"/>
    <n v="10000"/>
    <n v="0"/>
    <n v="5000"/>
    <n v="5000"/>
    <s v="Programa de apoyo a empresarios minoritarios"/>
  </r>
  <r>
    <s v="FIE60-2022-2023-0050"/>
    <s v="2023-001975"/>
    <x v="55"/>
    <d v="2023-01-09T00:00:00"/>
    <d v="2024-07-08T00:00:00"/>
    <s v="Cancelled"/>
    <s v="JESSENIA MOUX MORALES"/>
    <s v="TRUJILLO ALTO"/>
    <s v="Servicios de belleza y estética"/>
    <x v="24"/>
    <n v="5000"/>
    <n v="2500"/>
    <n v="2500"/>
    <n v="0"/>
    <s v="Programa de apoyo a empresarios minoritarios"/>
  </r>
  <r>
    <s v="FIE60-2022-2023-0050"/>
    <s v="2023-001976"/>
    <x v="55"/>
    <d v="2023-01-09T00:00:00"/>
    <d v="2024-07-08T00:00:00"/>
    <s v="Contract"/>
    <s v="COLON ALVAREZ CPA LLC"/>
    <s v="PONCE"/>
    <m/>
    <x v="24"/>
    <n v="8700"/>
    <n v="0"/>
    <n v="8700"/>
    <n v="0"/>
    <s v="Programa de apoyo a empresarios minoritarios"/>
  </r>
  <r>
    <s v="FIE60-2022-2023-0050"/>
    <s v="2023-001977"/>
    <x v="55"/>
    <d v="2023-01-09T00:00:00"/>
    <d v="2024-07-08T00:00:00"/>
    <s v="Contract"/>
    <s v="ESTRONZA ACCOUNTING SERVICE"/>
    <s v="CABO ROJO"/>
    <s v="Consultoría y servicios de contabilidad"/>
    <x v="24"/>
    <n v="10000"/>
    <n v="0"/>
    <n v="9999.91"/>
    <n v="9.0000000000145519E-2"/>
    <s v="Programa de apoyo a empresarios minoritarios"/>
  </r>
  <r>
    <s v="FIE60-2022-2023-0050"/>
    <s v="2023-001979"/>
    <x v="55"/>
    <d v="2023-01-09T00:00:00"/>
    <d v="2024-07-08T00:00:00"/>
    <s v="Contract"/>
    <s v="LA TORTUGA BISTRO BAR LLC"/>
    <s v="SAN JUAN"/>
    <s v="Pymes-CCE Capital Semilla-Impulso"/>
    <x v="24"/>
    <n v="10000"/>
    <n v="0"/>
    <n v="6850"/>
    <n v="3150"/>
    <s v="Programa de apoyo a empresarios minoritarios"/>
  </r>
  <r>
    <s v="FIE60-2022-2023-0050"/>
    <s v="2023-001982"/>
    <x v="55"/>
    <d v="2023-01-09T00:00:00"/>
    <d v="2024-07-08T00:00:00"/>
    <s v="Contract"/>
    <s v="WILSON ACEVEDO SALAS"/>
    <s v="MOCA"/>
    <s v="Puesto de gasolina con colmado y gomera"/>
    <x v="24"/>
    <n v="10000"/>
    <n v="0"/>
    <n v="5000"/>
    <n v="5000"/>
    <s v="Programa de apoyo a empresarios minoritarios"/>
  </r>
  <r>
    <s v="FIE60-2022-2023-0050"/>
    <s v="2023-001978"/>
    <x v="55"/>
    <d v="2023-01-09T00:00:00"/>
    <d v="2024-07-08T00:00:00"/>
    <s v="Contract"/>
    <s v="YOU AND ME DEVELOPMENT CENTER"/>
    <s v="MAYAGÜEZ"/>
    <m/>
    <x v="24"/>
    <n v="9981"/>
    <n v="0"/>
    <n v="4999.5"/>
    <n v="4981.5"/>
    <s v="Programa de apoyo a empresarios minoritarios"/>
  </r>
  <r>
    <s v="FIE60-2022-2023-0003"/>
    <s v="2023-002021"/>
    <x v="55"/>
    <d v="2023-01-15T00:00:00"/>
    <d v="2028-02-05T00:00:00"/>
    <s v="Contract"/>
    <s v="DORMILON FACTORY AND DISTRIBUTORS LLC"/>
    <s v="CAGUAS"/>
    <s v="Manufactura de matress y productos textiles"/>
    <x v="10"/>
    <n v="88900"/>
    <n v="0"/>
    <n v="0"/>
    <n v="88900"/>
    <n v="1.53"/>
  </r>
  <r>
    <s v="FIE60-2022-2023-0037"/>
    <s v="2023-001990"/>
    <x v="55"/>
    <d v="2023-01-19T00:00:00"/>
    <d v="2024-07-18T00:00:00"/>
    <s v="Contract"/>
    <s v="DULZURA BORINCANA, INC."/>
    <s v="MOCA"/>
    <s v="Dulces típicos y snacks saludables"/>
    <x v="13"/>
    <n v="50000"/>
    <n v="0"/>
    <n v="50000"/>
    <n v="0"/>
    <s v="Programa de apoyo a empresarios minoritarios"/>
  </r>
  <r>
    <s v="FIE60-2022-2023-0050"/>
    <s v="2023-001992"/>
    <x v="55"/>
    <d v="2023-01-19T00:00:00"/>
    <d v="2024-07-18T00:00:00"/>
    <s v="Cancelled"/>
    <s v="CUKIDOU LLC"/>
    <s v="LAJAS"/>
    <m/>
    <x v="24"/>
    <n v="10000"/>
    <n v="5000"/>
    <n v="5000"/>
    <n v="0"/>
    <s v="Programa de apoyo a empresarios minoritarios"/>
  </r>
  <r>
    <s v="FIE60-2022-2023-0050"/>
    <s v="2023-001993"/>
    <x v="55"/>
    <d v="2023-01-19T00:00:00"/>
    <d v="2024-07-18T00:00:00"/>
    <s v="Contract"/>
    <s v="JOEL GONZALEZ RIVERA DBA TRAE PAN"/>
    <s v="MAYAGÜEZ"/>
    <s v="Panadería"/>
    <x v="24"/>
    <n v="10000"/>
    <n v="0"/>
    <n v="5000"/>
    <n v="5000"/>
    <s v="Programa de apoyo a empresarios minoritarios"/>
  </r>
  <r>
    <s v="FIE60-2022-2023-0050"/>
    <s v="2023-001998"/>
    <x v="55"/>
    <d v="2023-01-19T00:00:00"/>
    <d v="2024-07-18T00:00:00"/>
    <s v="Contract"/>
    <s v="BISTRO DELMAR, LLC"/>
    <s v="FAJARDO"/>
    <s v="Rembolso Capital Semilla Fase 2"/>
    <x v="24"/>
    <n v="10000"/>
    <n v="0"/>
    <n v="9183.83"/>
    <n v="816.17000000000007"/>
    <s v="Programa de apoyo a empresarios minoritarios"/>
  </r>
  <r>
    <s v="FIE60-2022-2023-0050"/>
    <s v="2023-001999"/>
    <x v="55"/>
    <d v="2023-01-19T00:00:00"/>
    <d v="2024-07-18T00:00:00"/>
    <s v="Contract"/>
    <s v="BE YOURSELF BEHAVIOR AND PSYCHOLOGICAL SERVICE LLC"/>
    <s v="VILLALBA"/>
    <m/>
    <x v="24"/>
    <n v="10000"/>
    <n v="0"/>
    <n v="5000"/>
    <n v="5000"/>
    <s v="Programa de apoyo a empresarios minoritarios"/>
  </r>
  <r>
    <s v="FIE60-2022-2023-0023"/>
    <s v="2023-002006"/>
    <x v="55"/>
    <d v="2023-01-25T00:00:00"/>
    <d v="2026-01-24T00:00:00"/>
    <s v="Contract"/>
    <s v="VF ALUMINUM CORP."/>
    <s v="CIDRA"/>
    <s v="Puertas, ventanas, &quot;screens&quot;"/>
    <x v="8"/>
    <n v="9750"/>
    <n v="0"/>
    <n v="0"/>
    <n v="9750"/>
    <n v="10.78"/>
  </r>
  <r>
    <s v="FIE60-2022-2023-0152"/>
    <s v="2023-002016"/>
    <x v="82"/>
    <d v="2023-01-25T00:00:00"/>
    <d v="2023-12-31T00:00:00"/>
    <s v="Contract"/>
    <s v="ENTERPRIZE EVENTS, INC (GUAYACAN)"/>
    <s v="SAN JUAN"/>
    <s v="Programas de educación y desarrollo empresarial"/>
    <x v="12"/>
    <n v="546000"/>
    <n v="0"/>
    <n v="478440.15"/>
    <n v="67559.849999999977"/>
    <s v="Programa de apoyo a empresarios minoritarios"/>
  </r>
  <r>
    <s v="FIE60-2020-2021-0174"/>
    <s v="2022-000432-A"/>
    <x v="37"/>
    <d v="2023-01-27T00:00:00"/>
    <d v="2027-03-28T00:00:00"/>
    <s v="Contract"/>
    <s v="BIOSOMILAR SCIENCES PR, LLC (Project Flamboyant)"/>
    <s v="AGUADILLA"/>
    <s v="Biopharmaceutical products manufacturing"/>
    <x v="10"/>
    <n v="13000000"/>
    <n v="0"/>
    <n v="2738479.4000000004"/>
    <n v="10261520.6"/>
    <n v="5.6"/>
  </r>
  <r>
    <s v="FIE60-2022-2023-0036"/>
    <s v="2023-002007"/>
    <x v="55"/>
    <d v="2023-01-31T00:00:00"/>
    <d v="2026-01-30T00:00:00"/>
    <s v="Contract"/>
    <s v="TERRAFIRMA, LLC"/>
    <s v="SAN JUAN"/>
    <s v="Desarrollo de soluciones digitales para pronosticar riesgo ambiental"/>
    <x v="17"/>
    <n v="160000"/>
    <n v="0"/>
    <n v="80000"/>
    <n v="80000"/>
    <s v="Programa de apoyo a empresarios minoritarios"/>
  </r>
  <r>
    <s v="FIE60-2022-2023-0177"/>
    <s v="2023-002170"/>
    <x v="83"/>
    <d v="2023-02-01T00:00:00"/>
    <d v="2026-04-11T00:00:00"/>
    <s v="Cancelled"/>
    <s v="CUTTING EDGE SUPERCONDUCTORS INC."/>
    <s v="MAYAGÜEZ"/>
    <s v="Manufactura de productos de alambre fabricados manufactura de instrumentos quirúrgicos y médicos investigación y desarrollo en nanotecnología"/>
    <x v="8"/>
    <n v="30000"/>
    <n v="30000"/>
    <n v="0"/>
    <n v="0"/>
    <n v="4.2300000000000004"/>
  </r>
  <r>
    <s v="FIE-2018-2019-IIP-0036"/>
    <s v="2023-002009"/>
    <x v="4"/>
    <d v="2023-02-01T00:00:00"/>
    <d v="2028-01-31T00:00:00"/>
    <s v="Contract"/>
    <s v="FINCA LA MEVA TERRA CORP."/>
    <s v="ADJUNTAS"/>
    <s v="Espinacas"/>
    <x v="5"/>
    <n v="42510"/>
    <n v="0"/>
    <n v="0"/>
    <n v="42510"/>
    <s v="Programa de apoyo a empresarios minoritarios"/>
  </r>
  <r>
    <s v="FIE60-2021-2022-0155"/>
    <s v="2023-002019"/>
    <x v="60"/>
    <d v="2023-02-02T00:00:00"/>
    <d v="2025-02-01T00:00:00"/>
    <s v="Cancelled"/>
    <s v="WINSTOM SALEM INDUSTRIES FOR THE BLIND"/>
    <s v="CABO ROJO"/>
    <s v="Manufactura del &quot;fuel  handler coverall&quot; mediante contrato con el departamento de defesa de eua."/>
    <x v="10"/>
    <n v="90000"/>
    <n v="90000"/>
    <n v="0"/>
    <n v="0"/>
    <s v="163%.  Finanzas canceló 6-9-2025.  Contrato vencido."/>
  </r>
  <r>
    <s v="FIE60-2021-2022-0156"/>
    <s v="2023-002018"/>
    <x v="60"/>
    <d v="2023-02-02T00:00:00"/>
    <d v="2026-02-01T00:00:00"/>
    <s v="Contract"/>
    <s v="WINSTOM SALEM INDUSTRIES FOR THE BLIND"/>
    <s v="CABO ROJO"/>
    <s v="Manufactura del &quot;fuel  handler coverall&quot; mediante contrato con el departamento de defesa de eua."/>
    <x v="12"/>
    <n v="60000"/>
    <n v="0"/>
    <n v="0"/>
    <n v="60000"/>
    <n v="1.63"/>
  </r>
  <r>
    <s v="FIE60-2022-2023-0025"/>
    <s v="2023-002011"/>
    <x v="55"/>
    <d v="2023-02-02T00:00:00"/>
    <d v="2026-02-01T00:00:00"/>
    <s v="Cancelled"/>
    <s v="MILDRED R. RIVERA SANTIAGO"/>
    <s v="ARECIBO"/>
    <s v="Aceites (jabón saponificado)"/>
    <x v="15"/>
    <n v="1016.5"/>
    <n v="16.5"/>
    <n v="1000"/>
    <n v="0"/>
    <s v="Programa de apoyo a empresarios minoritarios.  Finanzas solicita cancelar balance al 4-10-2025"/>
  </r>
  <r>
    <s v="FIE60-2022-2023-0050"/>
    <s v="2023-002013"/>
    <x v="55"/>
    <d v="2023-02-03T00:00:00"/>
    <d v="2024-08-02T00:00:00"/>
    <s v="Contract"/>
    <s v="PEDRO J. LUCENA ORTIZ"/>
    <s v="HORMIGUEROS"/>
    <s v="Foodtruck"/>
    <x v="24"/>
    <n v="6671"/>
    <n v="0"/>
    <n v="3335.5"/>
    <n v="3335.5"/>
    <s v="Programa de apoyo a empresarios minoritarios"/>
  </r>
  <r>
    <s v="FIE60-2022-2023-0050"/>
    <s v="2023-002014"/>
    <x v="55"/>
    <d v="2023-02-03T00:00:00"/>
    <d v="2024-08-02T00:00:00"/>
    <s v="Contract"/>
    <s v="CARLOS VELAZQUEZ PACHECO"/>
    <s v="GUAYANILLA"/>
    <s v="Servicio de limpieza de patios y áreas verdes"/>
    <x v="24"/>
    <n v="10000"/>
    <n v="0"/>
    <n v="5000"/>
    <n v="5000"/>
    <s v="Programa de apoyo a empresarios minoritarios"/>
  </r>
  <r>
    <s v="FIE60-2022-2023-0002"/>
    <s v="2023-002020"/>
    <x v="55"/>
    <d v="2023-02-06T00:00:00"/>
    <d v="2028-02-05T00:00:00"/>
    <s v="Contract"/>
    <s v="DORMILON FACTORY AND DISTRIBUTORS LLC"/>
    <s v="CAGUAS"/>
    <s v="Manufactura de matress y productos textiles"/>
    <x v="8"/>
    <n v="5000"/>
    <n v="0"/>
    <n v="833.35"/>
    <n v="4166.6499999999996"/>
    <n v="1.53"/>
  </r>
  <r>
    <s v="FIE60-2021-2022-0187"/>
    <s v="2023-000078-A"/>
    <x v="69"/>
    <d v="2023-02-07T00:00:00"/>
    <d v="2028-08-03T00:00:00"/>
    <s v="Contract"/>
    <s v="CENTRAL PACKAGING CARIBE, INC."/>
    <s v="MOROVIS"/>
    <s v="Impresos flexograficos     "/>
    <x v="8"/>
    <n v="10000"/>
    <n v="0"/>
    <n v="0"/>
    <n v="10000"/>
    <n v="3.74"/>
  </r>
  <r>
    <s v="FIE60-2022-2023-0015"/>
    <s v="2023-002023"/>
    <x v="55"/>
    <d v="2023-02-07T00:00:00"/>
    <d v="2028-02-06T00:00:00"/>
    <s v="Contract"/>
    <s v="HH DUCTWORK, LLC."/>
    <s v="CATAÑO"/>
    <s v="Fabricación de conductos para sistemas de aire acondicionado, campanas de cocinas comerciales e industrials y equipos de ventilación"/>
    <x v="10"/>
    <n v="47000"/>
    <n v="0"/>
    <n v="0"/>
    <n v="47000"/>
    <n v="1"/>
  </r>
  <r>
    <s v="FIE60-2022-2023-0033"/>
    <s v="2023-002015"/>
    <x v="55"/>
    <d v="2023-02-07T00:00:00"/>
    <d v="2023-06-30T00:00:00"/>
    <s v="Contract"/>
    <s v="MUNICIPIO DE QUEBRADILLAS"/>
    <s v="QUEBRADILLAS"/>
    <s v="Optimizar salón de tecnología para estudiantes"/>
    <x v="16"/>
    <n v="16171"/>
    <n v="0"/>
    <n v="12744.6"/>
    <n v="3426.3999999999996"/>
    <s v="Programa de apoyo a empresarios minoritarios"/>
  </r>
  <r>
    <s v="FIE60-2020-2021-0269"/>
    <s v="2023-002026"/>
    <x v="49"/>
    <d v="2023-02-09T00:00:00"/>
    <d v="2025-02-08T00:00:00"/>
    <s v="Contract"/>
    <s v="GA SALES LLC"/>
    <s v="GURABO"/>
    <s v="Alimentos"/>
    <x v="8"/>
    <n v="105000"/>
    <n v="0"/>
    <n v="65333.42"/>
    <n v="39666.58"/>
    <n v="7.0000000000000007E-2"/>
  </r>
  <r>
    <s v="FIE60-2020-2021-0270"/>
    <s v="2023-002027"/>
    <x v="49"/>
    <d v="2023-02-09T00:00:00"/>
    <d v="2025-02-08T00:00:00"/>
    <s v="Contract"/>
    <s v="GA SALES LLC"/>
    <s v="GURABO"/>
    <s v="Alimentos"/>
    <x v="10"/>
    <n v="150000"/>
    <n v="0"/>
    <n v="0"/>
    <n v="150000"/>
    <n v="7.0000000000000007E-2"/>
  </r>
  <r>
    <s v="FIE60-2020-2021-0271"/>
    <s v="2023-002028"/>
    <x v="49"/>
    <d v="2023-02-09T00:00:00"/>
    <d v="2025-02-08T00:00:00"/>
    <s v="Contract"/>
    <s v="GA SALES LLC"/>
    <s v="GURABO"/>
    <s v="Alimentos"/>
    <x v="9"/>
    <n v="100000"/>
    <n v="0"/>
    <n v="0"/>
    <n v="100000"/>
    <n v="7.0000000000000007E-2"/>
  </r>
  <r>
    <s v="FIE60-2022-2023-0068"/>
    <s v="2023-002040"/>
    <x v="84"/>
    <d v="2023-02-15T00:00:00"/>
    <d v="2026-02-14T00:00:00"/>
    <s v="Contract"/>
    <s v="ADVANCE TRUSS PROFESSIONAL GROUP. INC"/>
    <s v="COROZAL"/>
    <s v="Servicios profesionales de ingeniería y mantenimiento integrado para la industria farmacéutica y química, hospitales, manufactura y comercial"/>
    <x v="8"/>
    <n v="10000"/>
    <n v="0"/>
    <n v="0"/>
    <n v="10000"/>
    <n v="2.95"/>
  </r>
  <r>
    <s v="FIE60-2022-2023-0126"/>
    <s v="2023-002043"/>
    <x v="85"/>
    <d v="2023-02-17T00:00:00"/>
    <d v="2028-02-16T00:00:00"/>
    <s v="Contract"/>
    <s v="TAI HAI FARM LLC."/>
    <s v="CABO ROJO"/>
    <s v="Procesamiento de carne"/>
    <x v="8"/>
    <n v="9600"/>
    <n v="0"/>
    <n v="0"/>
    <n v="9600"/>
    <n v="3.24"/>
  </r>
  <r>
    <s v="FIE60-2022-2023-0127"/>
    <s v="2023-002044"/>
    <x v="85"/>
    <d v="2023-02-17T00:00:00"/>
    <d v="2028-02-16T00:00:00"/>
    <s v="Contract"/>
    <s v="TAI HAI FARM LLC."/>
    <s v="CABO ROJO"/>
    <s v="Procesamiento de carne"/>
    <x v="10"/>
    <n v="34000"/>
    <n v="0"/>
    <n v="0"/>
    <n v="34000"/>
    <n v="3.24"/>
  </r>
  <r>
    <s v="FIE60-2022-2023-0036"/>
    <s v="2023-002046"/>
    <x v="55"/>
    <d v="2023-02-17T00:00:00"/>
    <d v="2026-02-16T00:00:00"/>
    <s v="Contract"/>
    <s v="IMPACTIVO LLC"/>
    <s v="SAN JUAN"/>
    <s v="Tecnología smart pcmh (patient centered medical home)"/>
    <x v="17"/>
    <n v="200000"/>
    <n v="0"/>
    <n v="100000"/>
    <n v="100000"/>
    <s v="Programa de apoyo a empresarios minoritarios"/>
  </r>
  <r>
    <s v="FIE60-2022-2023-0082"/>
    <s v="2023-002055"/>
    <x v="86"/>
    <d v="2023-02-24T00:00:00"/>
    <d v="2028-02-26T00:00:00"/>
    <s v="Contract"/>
    <s v="FUTURE PRODUCTS, CORP."/>
    <s v="CAROLINA"/>
    <s v="Lubricantes para vehiculos y equipo pesado"/>
    <x v="10"/>
    <n v="83000"/>
    <n v="0"/>
    <n v="80408.36"/>
    <n v="2591.6399999999994"/>
    <n v="1.01"/>
  </r>
  <r>
    <s v="FIE60-2021-2022-0111"/>
    <s v="2023-002057"/>
    <x v="57"/>
    <d v="2023-03-01T00:00:00"/>
    <d v="2028-02-29T00:00:00"/>
    <s v="Contract"/>
    <s v="FASCIAS INDUSTRIES LLC"/>
    <s v="JUNCOS"/>
    <s v="Manufactura de lámparas tipo fascias"/>
    <x v="8"/>
    <n v="7200"/>
    <n v="0"/>
    <n v="0"/>
    <n v="7200"/>
    <n v="1.03"/>
  </r>
  <r>
    <s v="FIE60-2022-2023-0026"/>
    <s v="2023-002066"/>
    <x v="55"/>
    <d v="2023-03-01T00:00:00"/>
    <d v="2023-06-16T00:00:00"/>
    <s v="Contract"/>
    <s v="MICHELLE ALBINO GONZALEZ"/>
    <s v="SAN JUAN"/>
    <s v="Renglón de macramé"/>
    <x v="15"/>
    <n v="1440"/>
    <n v="0"/>
    <n v="0"/>
    <n v="1440"/>
    <s v="Programa de apoyo a empresarios minoritarios"/>
  </r>
  <r>
    <s v="FIE60-2022-2023-0032"/>
    <s v="2023-002053"/>
    <x v="55"/>
    <d v="2023-03-03T00:00:00"/>
    <d v="2023-06-30T00:00:00"/>
    <s v="Contract"/>
    <s v="LOCAL TOURIST LLC"/>
    <s v="VEGA BAJA"/>
    <s v="Ruta empresarial"/>
    <x v="16"/>
    <n v="95000"/>
    <n v="0"/>
    <n v="26358"/>
    <n v="68642"/>
    <s v="Programa de apoyo a empresarios minoritarios"/>
  </r>
  <r>
    <s v="FIE60-2022-2023-0107"/>
    <s v="2023-002060"/>
    <x v="85"/>
    <d v="2023-03-06T00:00:00"/>
    <d v="2028-03-05T00:00:00"/>
    <s v="Contract"/>
    <s v="FLEXIBLE &amp; INTEGRATED TECHNICAL SERVICES INC."/>
    <s v="AGUADA"/>
    <s v="Servicios profesionales de ingeniería y mantenimiento integrado para la industria farmacéutica y química, hospitales, manufactura y comercial"/>
    <x v="8"/>
    <n v="100000"/>
    <n v="0"/>
    <n v="40000"/>
    <n v="60000"/>
    <n v="71.95"/>
  </r>
  <r>
    <s v="FIE60-2021-2022-0159"/>
    <s v="2022-000410-A"/>
    <x v="62"/>
    <d v="2023-03-07T00:00:00"/>
    <d v="2027-03-23T00:00:00"/>
    <s v="Contract"/>
    <s v="AKM MFG., INC."/>
    <s v="SAN JUAN"/>
    <s v="Cajas (metal y plastico) para aire acondicionado de autos  "/>
    <x v="8"/>
    <n v="8250"/>
    <n v="0"/>
    <n v="0"/>
    <n v="8250"/>
    <n v="10.06"/>
  </r>
  <r>
    <s v="FIE60-2022-2023-0112"/>
    <s v="2023-002054"/>
    <x v="85"/>
    <d v="2023-03-07T00:00:00"/>
    <d v="2028-03-06T00:00:00"/>
    <s v="Contract"/>
    <s v="GLOBAL-TEK MANUFACTURING LLC."/>
    <s v="CEIBA"/>
    <s v="Manufactura de piezas de metal especializadas"/>
    <x v="10"/>
    <n v="699000"/>
    <n v="0"/>
    <n v="610000"/>
    <n v="89000"/>
    <n v="0.24"/>
  </r>
  <r>
    <s v="FIE60-2022-2023-0050"/>
    <s v="2023-002092"/>
    <x v="55"/>
    <d v="2023-03-10T00:00:00"/>
    <d v="2024-09-09T00:00:00"/>
    <s v="Contract"/>
    <s v="QUIBBLE RM, LLC"/>
    <s v="GUAYNABO"/>
    <m/>
    <x v="24"/>
    <n v="10000"/>
    <n v="0"/>
    <n v="5000"/>
    <n v="5000"/>
    <s v="Programa de apoyo a empresarios minoritarios"/>
  </r>
  <r>
    <s v="FIE60-2022-2023-0050"/>
    <s v="2023-002093"/>
    <x v="55"/>
    <d v="2023-03-10T00:00:00"/>
    <d v="2024-09-09T00:00:00"/>
    <s v="Contract"/>
    <s v="JOELY E. RENTAS RIVERA"/>
    <s v="BARCELONETA"/>
    <s v="Oficina de servicios psicológicos"/>
    <x v="24"/>
    <n v="10000"/>
    <n v="0"/>
    <n v="5000"/>
    <n v="5000"/>
    <s v="Programa de apoyo a empresarios minoritarios"/>
  </r>
  <r>
    <s v="FIE60-2022-2023-0050"/>
    <s v="2023-002094"/>
    <x v="55"/>
    <d v="2023-03-10T00:00:00"/>
    <d v="2024-09-09T00:00:00"/>
    <s v="Contract"/>
    <s v="MICHAEL FORESTIER FIGUEROA DBA MF GAMES CAFÉ"/>
    <s v="SAN GERMAN"/>
    <s v="Cafetería"/>
    <x v="24"/>
    <n v="10000"/>
    <n v="0"/>
    <n v="5000"/>
    <n v="5000"/>
    <s v="Programa de apoyo a empresarios minoritarios"/>
  </r>
  <r>
    <s v="FIE60-2022-2023-0050"/>
    <s v="2023-002095"/>
    <x v="55"/>
    <d v="2023-03-10T00:00:00"/>
    <d v="2024-09-09T00:00:00"/>
    <s v="Cancelled"/>
    <s v="RICURA CARIBENA"/>
    <s v="MAYAGÜEZ"/>
    <s v="Pymes-CCE Capital Semilla-Impulso"/>
    <x v="24"/>
    <n v="10000"/>
    <n v="5000"/>
    <n v="5000"/>
    <n v="0"/>
    <s v="Programa de apoyo a empresarios minoritarios"/>
  </r>
  <r>
    <s v="FIE60-2022-2023-0050"/>
    <s v="2023-002096"/>
    <x v="55"/>
    <d v="2023-03-13T00:00:00"/>
    <d v="2024-09-12T00:00:00"/>
    <s v="Contract"/>
    <s v="CEVICHERIA 646 LLC"/>
    <s v="DORADO"/>
    <m/>
    <x v="24"/>
    <n v="10000"/>
    <n v="0"/>
    <n v="5000"/>
    <n v="5000"/>
    <s v="Programa de apoyo a empresarios minoritarios"/>
  </r>
  <r>
    <s v="FIE60-2022-2023-0050"/>
    <s v="2023-002097"/>
    <x v="55"/>
    <d v="2023-03-13T00:00:00"/>
    <d v="2024-09-12T00:00:00"/>
    <s v="Contract"/>
    <s v="HARRY MARTINEZ ORTIZ "/>
    <s v="GUANICA"/>
    <s v="Cafetería"/>
    <x v="24"/>
    <n v="10000"/>
    <n v="0"/>
    <n v="5000"/>
    <n v="5000"/>
    <s v="Programa de apoyo a empresarios minoritarios"/>
  </r>
  <r>
    <s v="FIE60-2022-2023-0050"/>
    <s v="2023-002098"/>
    <x v="55"/>
    <d v="2023-03-13T00:00:00"/>
    <d v="2024-09-12T00:00:00"/>
    <s v="Contract"/>
    <s v="NEUROPATHWAYS LLC"/>
    <s v="MAYAGÜEZ"/>
    <m/>
    <x v="24"/>
    <n v="10000"/>
    <n v="0"/>
    <n v="5000"/>
    <n v="5000"/>
    <s v="Programa de apoyo a empresarios minoritarios"/>
  </r>
  <r>
    <s v="FIE60-2022-2023-0050"/>
    <s v="2023-002099"/>
    <x v="55"/>
    <d v="2023-03-13T00:00:00"/>
    <d v="2024-09-12T00:00:00"/>
    <s v="Contract"/>
    <s v="PERFECT SKIN AND BODY SPA"/>
    <s v="AGUAS BUENAS"/>
    <m/>
    <x v="24"/>
    <n v="10000"/>
    <n v="0"/>
    <n v="10000"/>
    <n v="0"/>
    <s v="Programa de apoyo a empresarios minoritarios"/>
  </r>
  <r>
    <s v="FIE60-2022-2023-0050"/>
    <s v="2023-002100"/>
    <x v="55"/>
    <d v="2023-03-13T00:00:00"/>
    <d v="2024-09-12T00:00:00"/>
    <s v="Contract"/>
    <s v="COOPERATIVA MULTI SERVICES"/>
    <s v="SAN JUAN"/>
    <m/>
    <x v="24"/>
    <n v="10000"/>
    <n v="0"/>
    <n v="5000"/>
    <n v="5000"/>
    <s v="Programa de apoyo a empresarios minoritarios"/>
  </r>
  <r>
    <s v="FIE60-2022-2023-0050"/>
    <s v="2023-002101"/>
    <x v="55"/>
    <d v="2023-03-13T00:00:00"/>
    <d v="2024-09-12T00:00:00"/>
    <s v="Contract"/>
    <s v="LUXURY SEA TOYS PR LLC"/>
    <s v="RINCÓN"/>
    <m/>
    <x v="24"/>
    <n v="10000"/>
    <n v="0"/>
    <n v="5000"/>
    <n v="5000"/>
    <s v="Programa de apoyo a empresarios minoritarios"/>
  </r>
  <r>
    <s v="FIE60-2022-2023-0084"/>
    <s v="2023-002073"/>
    <x v="87"/>
    <d v="2023-03-14T00:00:00"/>
    <d v="2023-11-30T00:00:00"/>
    <s v="Contract"/>
    <s v="INTECO"/>
    <m/>
    <s v="Construcción de un centro de respuesta y recuperación de negocios y expansión de la incubadora inova"/>
    <x v="12"/>
    <n v="150000"/>
    <n v="0"/>
    <n v="100000"/>
    <n v="50000"/>
    <s v="Apoyo empresarial"/>
  </r>
  <r>
    <s v="FIE60-2022-2023-0146"/>
    <s v="2023-002129"/>
    <x v="88"/>
    <d v="2023-03-16T00:00:00"/>
    <d v="2026-03-15T00:00:00"/>
    <s v="Contract"/>
    <s v="SABROSURAS, LLC"/>
    <s v="GURABO"/>
    <s v="Producción de postres sin azucar ni carbohidratos refinados"/>
    <x v="8"/>
    <n v="2250"/>
    <n v="0"/>
    <n v="0"/>
    <n v="2250"/>
    <n v="0.53"/>
  </r>
  <r>
    <s v="FIE60-2022-2023-0147"/>
    <s v="2023-002130"/>
    <x v="88"/>
    <d v="2023-03-16T00:00:00"/>
    <d v="2028-03-15T00:00:00"/>
    <s v="Contract"/>
    <s v="SABROSURAS, LLC"/>
    <s v="GURABO"/>
    <s v="Producción de postres sin azucar ni carbohidratos refinados"/>
    <x v="10"/>
    <n v="15044"/>
    <n v="0"/>
    <n v="11031.2"/>
    <n v="4012.7999999999993"/>
    <n v="0.53"/>
  </r>
  <r>
    <s v="FIE60-2022-2023-0037"/>
    <s v="2023-002111"/>
    <x v="55"/>
    <d v="2023-03-20T00:00:00"/>
    <d v="2024-09-19T00:00:00"/>
    <s v="Contract"/>
    <s v="PRODUCTOS LA FINCA, INC."/>
    <s v="SABANA GRANDE"/>
    <s v="Cereales para el desayuno, arroz con dulce, rosetas de maiz, adobo, cebolla en polvo y otros"/>
    <x v="13"/>
    <n v="50000"/>
    <n v="0"/>
    <n v="0"/>
    <n v="50000"/>
    <s v="Programa de apoyo a empresarios minoritarios"/>
  </r>
  <r>
    <s v="FIE60-2022-2023-0050"/>
    <s v="2023-002102"/>
    <x v="55"/>
    <d v="2023-03-20T00:00:00"/>
    <d v="2024-03-19T00:00:00"/>
    <s v="Contract"/>
    <s v="ACADEMIA DE ARTES MAT, INC."/>
    <s v="PONCE"/>
    <m/>
    <x v="24"/>
    <n v="1346.36"/>
    <n v="0"/>
    <n v="363.23"/>
    <n v="983.12999999999988"/>
    <s v="Programa de apoyo a empresarios minoritarios"/>
  </r>
  <r>
    <s v="FIE60-2022-2023-0050"/>
    <s v="2023-002103"/>
    <x v="55"/>
    <d v="2023-03-20T00:00:00"/>
    <d v="2024-03-19T00:00:00"/>
    <s v="Contract"/>
    <s v="GUANICA'S ICE PLANT, LLC"/>
    <s v="GUANICA"/>
    <m/>
    <x v="24"/>
    <n v="10000"/>
    <n v="0"/>
    <n v="0"/>
    <n v="10000"/>
    <s v="Programa de apoyo a empresarios minoritarios"/>
  </r>
  <r>
    <s v="FIE60-2022-2023-0168"/>
    <s v="2023-002106"/>
    <x v="89"/>
    <d v="2023-03-23T00:00:00"/>
    <d v="2026-03-22T00:00:00"/>
    <s v="Contract"/>
    <s v="EMMCO, LLC"/>
    <s v="HUMACAO"/>
    <s v="Manufactura, ensamblaje y venta de equipos de distribución eléctrica y automatización"/>
    <x v="8"/>
    <n v="17000"/>
    <n v="0"/>
    <n v="0"/>
    <n v="17000"/>
    <n v="2.5"/>
  </r>
  <r>
    <s v="FIE60-2022-2023-0169"/>
    <s v="2023-002107"/>
    <x v="89"/>
    <d v="2023-03-23T00:00:00"/>
    <d v="2026-03-22T00:00:00"/>
    <s v="Contract"/>
    <s v="EMMCO, LLC"/>
    <s v="HUMACAO"/>
    <s v="Manufactura, ensamblaje y venta de equipos de distribución eléctrica y automatización"/>
    <x v="10"/>
    <n v="88226"/>
    <n v="0"/>
    <n v="0"/>
    <n v="88226"/>
    <n v="2.5"/>
  </r>
  <r>
    <s v="FIE60-2022-2023-0104"/>
    <s v="2023-002136"/>
    <x v="85"/>
    <d v="2023-03-24T00:00:00"/>
    <d v="2028-03-23T00:00:00"/>
    <s v="Contract"/>
    <s v="EMPRESAS BORIQUÉ, INC."/>
    <s v="HORMIGUEROS"/>
    <s v="Muebles y gabinetes de cocina"/>
    <x v="8"/>
    <n v="45000"/>
    <n v="0"/>
    <n v="0"/>
    <n v="45000"/>
    <n v="1.99"/>
  </r>
  <r>
    <s v="FIE60-2022-2023-0106"/>
    <s v="2023-002138"/>
    <x v="85"/>
    <d v="2023-03-24T00:00:00"/>
    <d v="2028-03-23T00:00:00"/>
    <s v="Contract"/>
    <s v="EMPRESAS BORIQUÉ, INC."/>
    <s v="HORMIGUEROS"/>
    <s v="Muebles y gabinetes de cocina"/>
    <x v="9"/>
    <n v="50000"/>
    <n v="0"/>
    <n v="50000"/>
    <n v="0"/>
    <n v="1.99"/>
  </r>
  <r>
    <s v="FIE60-2022-2023-0132"/>
    <s v="2023-002132"/>
    <x v="41"/>
    <d v="2023-03-24T00:00:00"/>
    <d v="2028-03-23T00:00:00"/>
    <s v="Contract"/>
    <s v="RPS MEDICAL SERVICE CORP."/>
    <s v="MANATI"/>
    <s v="Prótesis, ortesis y accesorios relacionados"/>
    <x v="8"/>
    <n v="3375"/>
    <n v="0"/>
    <n v="0"/>
    <n v="3375"/>
    <n v="2.2799999999999998"/>
  </r>
  <r>
    <s v="FIE60-2022-2023-0133"/>
    <s v="2023-002133"/>
    <x v="41"/>
    <d v="2023-03-24T00:00:00"/>
    <d v="2028-03-23T00:00:00"/>
    <s v="Contract"/>
    <s v="RPS MEDICAL SERVICE CORP."/>
    <s v="MANATI"/>
    <s v="Prótesis, ortesis y accesorios relacionados"/>
    <x v="10"/>
    <n v="25000"/>
    <n v="0"/>
    <n v="10491.17"/>
    <n v="14508.83"/>
    <n v="2.2799999999999998"/>
  </r>
  <r>
    <s v="FIE60-2021-2022-0223"/>
    <s v="2023-002144"/>
    <x v="68"/>
    <d v="2023-03-27T00:00:00"/>
    <d v="2028-03-26T00:00:00"/>
    <s v="Contract"/>
    <s v="MARVEL INTERNATIONAL, INC.."/>
    <s v="GUAYNABO"/>
    <s v="Hamburguesas, especies, sopas y sofritos "/>
    <x v="8"/>
    <n v="4000"/>
    <n v="0"/>
    <n v="0"/>
    <n v="4000"/>
    <n v="1.02"/>
  </r>
  <r>
    <s v="FIE60-2021-2022-0157"/>
    <s v="2023-002139"/>
    <x v="60"/>
    <d v="2023-03-29T00:00:00"/>
    <d v="2031-03-28T00:00:00"/>
    <s v="Contract"/>
    <s v="BAXTER HEALTHCARE CORP. (ALASKA)"/>
    <s v="AIBONITO"/>
    <s v="Equipos para soluciones intravenosas                                            "/>
    <x v="10"/>
    <n v="10000000"/>
    <n v="0"/>
    <n v="0"/>
    <n v="10000000"/>
    <n v="38.92"/>
  </r>
  <r>
    <s v="FIE60-2022-2023-0145"/>
    <s v="2023-002141"/>
    <x v="88"/>
    <d v="2023-03-29T00:00:00"/>
    <d v="2028-02-28T00:00:00"/>
    <s v="Contract"/>
    <s v="KC &amp; MORE LLC"/>
    <s v="BARRANQUITAS"/>
    <s v="Manufactura de gabinetes, closets y equipo de baño en madera o pvc"/>
    <x v="10"/>
    <n v="50000"/>
    <n v="0"/>
    <n v="0"/>
    <n v="50000"/>
    <n v="2.2000000000000002"/>
  </r>
  <r>
    <s v="FIE60-2020-2021-0150"/>
    <s v="2021-000192-C"/>
    <x v="37"/>
    <d v="2023-03-31T00:00:00"/>
    <d v="2023-06-30T00:00:00"/>
    <s v="Cancelled"/>
    <s v="Universidad Interamericana"/>
    <s v="San Juan"/>
    <s v="Aliados estratégicos"/>
    <x v="7"/>
    <n v="880000"/>
    <n v="27626.95"/>
    <n v="852373.05"/>
    <n v="0"/>
    <s v="Programa de apoyo a empresarios minoritarios.  Finanzas solicita cancelar balance al 4-10-2025"/>
  </r>
  <r>
    <s v="FIE60-2022-2023-0075"/>
    <s v="2023-002039"/>
    <x v="84"/>
    <d v="2023-03-31T00:00:00"/>
    <d v="2028-02-13T00:00:00"/>
    <s v="Contract"/>
    <s v="RG RECYCLING CORP."/>
    <s v="SAN SEBASTIAN"/>
    <s v="Acopio y procesamiento de metales ferrosos y no ferrosos"/>
    <x v="10"/>
    <n v="120000"/>
    <n v="0"/>
    <n v="21750"/>
    <n v="98250"/>
    <n v="1.06"/>
  </r>
  <r>
    <s v="FIE60-2022-2023-0050"/>
    <s v="2023-002123"/>
    <x v="55"/>
    <d v="2023-03-31T00:00:00"/>
    <d v="2024-09-30T00:00:00"/>
    <s v="Contract"/>
    <s v="EMPRESAS PPC "/>
    <s v="LAS PIEDRAS"/>
    <s v="Agricultura - recao, frutas, albahaca y acerolas"/>
    <x v="24"/>
    <n v="6515.35"/>
    <n v="0"/>
    <n v="3257.67"/>
    <n v="3257.6800000000003"/>
    <s v="Programa de apoyo a empresarios minoritarios"/>
  </r>
  <r>
    <s v="FIE60-2022-2023-0050"/>
    <s v="2023-002124"/>
    <x v="55"/>
    <d v="2023-03-31T00:00:00"/>
    <d v="2024-09-30T00:00:00"/>
    <s v="Contract"/>
    <s v="THAIMY M. MEDINA RODRIGUEZ"/>
    <s v="GURABO"/>
    <s v="Venta de café y postres"/>
    <x v="24"/>
    <n v="7000"/>
    <n v="0"/>
    <n v="3500"/>
    <n v="3500"/>
    <s v="Programa de apoyo a empresarios minoritarios"/>
  </r>
  <r>
    <s v="FIE60-2022-2023-0050"/>
    <s v="2023-002125"/>
    <x v="55"/>
    <d v="2023-03-31T00:00:00"/>
    <d v="2024-09-30T00:00:00"/>
    <s v="Contract"/>
    <s v="Y&amp;M LLC - WINGS AND FRIES MOROVIS"/>
    <m/>
    <m/>
    <x v="24"/>
    <n v="10000"/>
    <n v="0"/>
    <n v="9170"/>
    <n v="830"/>
    <s v="Programa de apoyo a empresarios minoritarios"/>
  </r>
  <r>
    <s v="FIE60-2022-2023-0050"/>
    <s v="2023-002126"/>
    <x v="55"/>
    <d v="2023-03-31T00:00:00"/>
    <d v="2024-09-30T00:00:00"/>
    <s v="Contract"/>
    <s v="ALICE M. RIVERA D/BA/ KHLOE ESTHETIC"/>
    <s v="JUANA DIAZ"/>
    <s v="Servicios de estética"/>
    <x v="24"/>
    <n v="10000"/>
    <n v="0"/>
    <n v="5000"/>
    <n v="5000"/>
    <s v="Programa de apoyo a empresarios minoritarios"/>
  </r>
  <r>
    <s v="FIE60-2022-2023-0050"/>
    <s v="2023-002127"/>
    <x v="55"/>
    <d v="2023-03-31T00:00:00"/>
    <d v="2024-09-30T00:00:00"/>
    <s v="Contract"/>
    <s v="BEAUTY LAB BY MISS CABASSA LLC"/>
    <s v="BAYAMÓN"/>
    <m/>
    <x v="24"/>
    <n v="7500"/>
    <n v="0"/>
    <n v="3750"/>
    <n v="3750"/>
    <s v="Programa de apoyo a empresarios minoritarios"/>
  </r>
  <r>
    <s v="FIE60-2022-2023-0115"/>
    <s v="2023-002177"/>
    <x v="85"/>
    <d v="2023-04-01T00:00:00"/>
    <d v="2028-04-20T00:00:00"/>
    <s v="Contract"/>
    <s v="HIDRORGANICA, INC."/>
    <s v="RIO GRANDE"/>
    <s v="Operacion de cultivo en sistema hidroponico y manufactura de productos de valor anadido de cosecha producida en la finca"/>
    <x v="8"/>
    <n v="4800"/>
    <n v="0"/>
    <n v="0"/>
    <n v="4800"/>
    <n v="4.22"/>
  </r>
  <r>
    <s v="FIE60-2022-2023-0170"/>
    <s v="2023-002146"/>
    <x v="64"/>
    <d v="2023-04-05T00:00:00"/>
    <d v="2028-04-04T00:00:00"/>
    <s v="Contract"/>
    <s v="LR FOODS,INC."/>
    <s v="BAYAMÓN"/>
    <s v="Procesamiento de productos cárnicos, pescado,salsas y aperitivos"/>
    <x v="10"/>
    <n v="125000"/>
    <n v="0"/>
    <n v="116090.66"/>
    <n v="8909.3399999999965"/>
    <n v="1.28"/>
  </r>
  <r>
    <s v="FIE60-2022-2023-0036"/>
    <s v="2023-002149"/>
    <x v="55"/>
    <d v="2023-04-05T00:00:00"/>
    <d v="2026-04-04T00:00:00"/>
    <s v="Contract"/>
    <s v="SUR180 THERAPEUTICS, INC."/>
    <s v="PONCE"/>
    <s v="R&amp;d- new therapies for endometriosis"/>
    <x v="17"/>
    <n v="200000"/>
    <n v="0"/>
    <n v="100000"/>
    <n v="100000"/>
    <s v="Programa de apoyo a empresarios minoritarios"/>
  </r>
  <r>
    <s v="FIE60-2022-2023-0039"/>
    <s v="2023-002153"/>
    <x v="55"/>
    <d v="2023-04-05T00:00:00"/>
    <d v="2023-12-31T00:00:00"/>
    <s v="Contract"/>
    <s v="JI COMMUNICATIONS LLC"/>
    <s v="GUAYNABO"/>
    <s v="Desarrollo de eventos empresariales y educativos, aplicación móvil"/>
    <x v="25"/>
    <n v="245000"/>
    <n v="0"/>
    <n v="165064.5"/>
    <n v="79935.5"/>
    <s v="Programa de apoyo a empresarios minoritarios"/>
  </r>
  <r>
    <s v="FIE60-2022-2023-0026"/>
    <s v="2023-002160"/>
    <x v="55"/>
    <d v="2023-04-05T00:00:00"/>
    <d v="2023-06-16T00:00:00"/>
    <s v="Contract"/>
    <s v="JOSE G. CRUZ AYALA"/>
    <s v="CAGUAS"/>
    <s v="Renglón de cigarros"/>
    <x v="15"/>
    <n v="1200"/>
    <n v="0"/>
    <n v="0"/>
    <n v="1200"/>
    <s v="Programa de apoyo a empresarios minoritarios"/>
  </r>
  <r>
    <s v="FIE60-2022-2023-0171"/>
    <s v="2023-002172"/>
    <x v="64"/>
    <d v="2023-04-12T00:00:00"/>
    <d v="2026-04-11T00:00:00"/>
    <s v="Contract"/>
    <s v="PRODUCTOS EL ÑAMERO, LLC"/>
    <s v="AGUADA"/>
    <s v="Procesamieto de ñame, yautía, batata,uca,calabaza y maíz"/>
    <x v="8"/>
    <n v="11200"/>
    <n v="0"/>
    <n v="0"/>
    <n v="11200"/>
    <n v="1.31"/>
  </r>
  <r>
    <s v="FIE60-2022-2023-0172"/>
    <s v="2023-002173"/>
    <x v="64"/>
    <d v="2023-04-12T00:00:00"/>
    <d v="2028-04-11T00:00:00"/>
    <s v="Contract"/>
    <s v="PRODUCTOS EL ÑAMERO, LLC"/>
    <s v="AGUADA"/>
    <s v="Procesamieto de ñame, yautía, batata,uca,calabaza y maíz"/>
    <x v="10"/>
    <n v="64597"/>
    <n v="0"/>
    <n v="0"/>
    <n v="64597"/>
    <n v="1.31"/>
  </r>
  <r>
    <s v="FIE60-2022-2023-0178"/>
    <s v="2023-002171"/>
    <x v="83"/>
    <d v="2023-04-12T00:00:00"/>
    <d v="2026-04-11T00:00:00"/>
    <s v="Contract"/>
    <s v="CUTTING EDGE SUPERCONDUCTORS INC."/>
    <s v="MAYAGÜEZ"/>
    <s v="Manufactura de productos de alambre fabricados manufactura de instrumentos quirúrgicos y médicos investigación y desarrollo en nanotecnología"/>
    <x v="10"/>
    <n v="50000"/>
    <n v="0"/>
    <n v="4425.37"/>
    <n v="45574.63"/>
    <n v="4.2300000000000004"/>
  </r>
  <r>
    <s v="FIE60-2022-2023-0050"/>
    <s v="2023-002185"/>
    <x v="55"/>
    <d v="2023-04-13T00:00:00"/>
    <d v="2023-06-30T00:00:00"/>
    <s v="Contract"/>
    <s v="UPR - RECINTO DE BAYAMON"/>
    <s v="BAYAMON"/>
    <s v="Programa de capacitación a emprendedores iniciando su empresa"/>
    <x v="24"/>
    <n v="28000"/>
    <n v="0"/>
    <n v="18480"/>
    <n v="9520"/>
    <s v="Programa de apoyo a empresarios minoritarios"/>
  </r>
  <r>
    <s v="FIE60-2022-2023-0037"/>
    <s v="2023-002176"/>
    <x v="55"/>
    <d v="2023-04-14T00:00:00"/>
    <d v="2024-10-13T00:00:00"/>
    <s v="Contract"/>
    <s v="ABARTYS HEALTH, LLC"/>
    <s v="SAN JUAN"/>
    <s v="Desarrollo de plataforma de análisis de datos de salud (software), clinic lynk"/>
    <x v="13"/>
    <n v="50000"/>
    <n v="0"/>
    <n v="0"/>
    <n v="50000"/>
    <s v="Programa de apoyo a empresarios minoritarios"/>
  </r>
  <r>
    <s v="FIE60-2022-2023-0038"/>
    <s v="2023-002187"/>
    <x v="55"/>
    <d v="2023-04-18T00:00:00"/>
    <d v="2024-04-17T00:00:00"/>
    <s v="Cancelled"/>
    <s v="SAN MAR MANUFACTURING CORP."/>
    <s v="CATAÑO"/>
    <s v="Manufactura a escala comercial de jugos de frutas"/>
    <x v="26"/>
    <n v="13400"/>
    <n v="8663.4"/>
    <n v="4736.6000000000004"/>
    <n v="0"/>
    <s v="Programa de apoyo a empresarios minoritarios.  Finanzas solicita cancelar balance al 4-10-2025"/>
  </r>
  <r>
    <s v="FIE60-2022-2023-0050"/>
    <s v="2023-002186"/>
    <x v="55"/>
    <d v="2023-04-18T00:00:00"/>
    <d v="2024-10-17T00:00:00"/>
    <s v="Contract"/>
    <s v="TUTO EDU LLC"/>
    <s v="GUAYNABO"/>
    <s v="Plataforma digital en la que se ofrecen servicios de tutorías o asesoría en línea a personas de todas las edades escolares o adultos"/>
    <x v="24"/>
    <n v="20000"/>
    <n v="0"/>
    <n v="10000"/>
    <n v="10000"/>
    <s v="Programa de apoyo a empresarios minoritarios"/>
  </r>
  <r>
    <s v="FIE60-2022-2023-0050"/>
    <s v="2023-002184"/>
    <x v="55"/>
    <d v="2023-04-18T00:00:00"/>
    <d v="2024-04-17T00:00:00"/>
    <s v="Contract"/>
    <s v="NB ACCOUNTING AND BUSINESS SERVICES"/>
    <s v="CIDRA"/>
    <m/>
    <x v="24"/>
    <n v="1813.33"/>
    <n v="0"/>
    <n v="0"/>
    <n v="1813.33"/>
    <s v="Programa de apoyo a empresarios minoritarios"/>
  </r>
  <r>
    <s v="FIE60-2022-2023-0116"/>
    <s v="2023-002178"/>
    <x v="85"/>
    <d v="2023-04-21T00:00:00"/>
    <d v="2028-04-20T00:00:00"/>
    <s v="Contract"/>
    <s v="HIDRORGANICA, INC."/>
    <s v="RIO GRANDE"/>
    <s v="Operacion de cultivo en sistema hidroponico y manufactura de productos de valor anadido de cosecha producida en la finca"/>
    <x v="10"/>
    <n v="44000"/>
    <n v="0"/>
    <n v="0"/>
    <n v="44000"/>
    <n v="4.22"/>
  </r>
  <r>
    <s v="FE-2019-2020-0076"/>
    <s v="2021-000051-A"/>
    <x v="26"/>
    <d v="2023-04-26T00:00:00"/>
    <d v="2023-08-13T00:00:00"/>
    <s v="Cancelled"/>
    <s v="KANDOR MANUFACTURING, INC."/>
    <s v="ARECIBO"/>
    <s v="Manufactura por contrato con el departamento de defensa de eua de uniformes militares de trabajo para la marina"/>
    <x v="2"/>
    <n v="250000"/>
    <n v="250000"/>
    <n v="0"/>
    <n v="0"/>
    <s v="2.24%.  Finanzas solicita cancelar balance al 4-10-2025"/>
  </r>
  <r>
    <s v="FE-2019-2020-0075"/>
    <s v="2021-000052-A"/>
    <x v="26"/>
    <d v="2023-04-26T00:00:00"/>
    <d v="2023-08-13T00:00:00"/>
    <s v="Cancelled"/>
    <s v="KANDOR MANUFACTURING, INC."/>
    <s v="ARECIBO"/>
    <s v="Manufactura por contrato con el departamento de defensa de eua de uniformes militares de trabajo para la marina"/>
    <x v="1"/>
    <n v="570000"/>
    <n v="17000"/>
    <n v="553000"/>
    <n v="0"/>
    <s v="132% / Contrato Vencido 1/27/2025.  EMITIERON PAGO CON W002591 EN MARZO 2025.  VER EMAIL EUNICE YGLESIAS"/>
  </r>
  <r>
    <s v="FIE60-2022-2023-0050"/>
    <s v="2023-002199"/>
    <x v="55"/>
    <d v="2023-04-26T00:00:00"/>
    <d v="2024-04-25T00:00:00"/>
    <s v="Contract"/>
    <s v="ISLA ALKA PUERTO RICO, LLC."/>
    <s v="QUEBRADILLAS"/>
    <m/>
    <x v="24"/>
    <n v="10000"/>
    <n v="0"/>
    <n v="0"/>
    <n v="10000"/>
    <s v="Programa de apoyo a empresarios minoritarios"/>
  </r>
  <r>
    <s v="FIE60-2022-2023-0050"/>
    <s v="2023-002200"/>
    <x v="55"/>
    <d v="2023-04-26T00:00:00"/>
    <d v="2024-04-25T00:00:00"/>
    <s v="Contract"/>
    <s v="AGROEMPRESAS SAN RAFAEL, INC."/>
    <s v="CAMUY"/>
    <m/>
    <x v="24"/>
    <n v="2641.2"/>
    <n v="0"/>
    <n v="0"/>
    <n v="2641.2"/>
    <s v="Programa de apoyo a empresarios minoritarios"/>
  </r>
  <r>
    <s v="FIE60-2022-2023-0032"/>
    <s v="2023-002197-A"/>
    <x v="55"/>
    <d v="2023-04-27T00:00:00"/>
    <d v="2023-06-30T00:00:00"/>
    <s v="Contract"/>
    <s v="MUNICIPIO DE VEGA BAJA"/>
    <s v="VEGA BAJA"/>
    <s v="Compra de computadoras para &quot;gaming room&quot;"/>
    <x v="16"/>
    <n v="15000"/>
    <n v="0"/>
    <n v="8000"/>
    <n v="7000"/>
    <s v="Programa de apoyo a empresarios minoritarios"/>
  </r>
  <r>
    <s v="FIE60-2022-2023-0025"/>
    <s v="2023-002206"/>
    <x v="55"/>
    <d v="2023-05-03T00:00:00"/>
    <d v="2026-05-02T00:00:00"/>
    <s v="Contract"/>
    <s v="GERARDO M. HERNANDEZ GUZMAN"/>
    <s v="OROCOVIS"/>
    <s v="Renglón de madera (instrumentos musicales y torno)"/>
    <x v="15"/>
    <n v="1679.36"/>
    <n v="0"/>
    <n v="1506.15"/>
    <n v="173.20999999999981"/>
    <s v="Programa de apoyo a empresarios minoritarios"/>
  </r>
  <r>
    <s v="FIE60-2022-2023-0109"/>
    <s v="2023-002220"/>
    <x v="85"/>
    <d v="2023-05-09T00:00:00"/>
    <d v="2028-05-08T00:00:00"/>
    <s v="Contract"/>
    <s v="FREEWIND ENERGY LLC"/>
    <s v="AGUAS BUENAS"/>
    <s v="Diseña, fabrica e instala sistemas flexibles de generación y almacenamiento de energía eólica"/>
    <x v="8"/>
    <n v="54000"/>
    <n v="0"/>
    <n v="0"/>
    <n v="54000"/>
    <n v="1.84"/>
  </r>
  <r>
    <s v="FIE60-2022-2023-0110"/>
    <s v="2023-002221"/>
    <x v="85"/>
    <d v="2023-05-09T00:00:00"/>
    <d v="2028-05-08T00:00:00"/>
    <s v="Contract"/>
    <s v="FREEWIND ENERGY LLC"/>
    <s v="AGUAS BUENAS"/>
    <s v="Diseña, fabrica e instala sistemas flexibles de generación y almacenamiento de energía eólica"/>
    <x v="10"/>
    <n v="123000"/>
    <n v="0"/>
    <n v="0"/>
    <n v="123000"/>
    <n v="1.84"/>
  </r>
  <r>
    <s v="FIE60-2022-2023-0111"/>
    <s v="2023-002222"/>
    <x v="85"/>
    <d v="2023-05-09T00:00:00"/>
    <d v="2028-05-08T00:00:00"/>
    <s v="Contract"/>
    <s v="FREEWIND ENERGY LLC"/>
    <s v="AGUAS BUENAS"/>
    <s v="Diseña, fabrica e instala sistemas flexibles de generación y almacenamiento de energía eólica"/>
    <x v="9"/>
    <n v="300000"/>
    <n v="0"/>
    <n v="0"/>
    <n v="300000"/>
    <n v="1.84"/>
  </r>
  <r>
    <s v="FIE60-2022-2023-0083"/>
    <s v="2023-002229"/>
    <x v="86"/>
    <d v="2023-05-16T00:00:00"/>
    <d v="2028-05-15T00:00:00"/>
    <s v="Contract"/>
    <s v="PHARMENG TECHNOLOGY AMERICAS LLC."/>
    <s v="CAGUAS"/>
    <s v="La empresa ofrece servicios de consultoría; tales como validación, cumplimiento de calidad, manejo de proyectos y consultoria en asuntos regulatorios para las empresas de los sectores de farmacéuticas, dispositivos médicios, alimentos, entre otros, regulados por la administración de drogas y alimentos"/>
    <x v="8"/>
    <n v="155000"/>
    <n v="0"/>
    <n v="0"/>
    <n v="155000"/>
    <n v="6.37"/>
  </r>
  <r>
    <s v="FIE60-2022-2023-0128"/>
    <s v="2023-002230"/>
    <x v="85"/>
    <d v="2023-05-19T00:00:00"/>
    <d v="2026-05-15T00:00:00"/>
    <s v="Contract"/>
    <s v="SCRYER LLC"/>
    <s v="SAN JUAN"/>
    <s v="Rectificador de alcohol para consumo"/>
    <x v="8"/>
    <n v="9000"/>
    <n v="0"/>
    <n v="0"/>
    <n v="9000"/>
    <n v="27.82"/>
  </r>
  <r>
    <s v="FIE60-2022-2023-0129"/>
    <s v="2023-002231"/>
    <x v="85"/>
    <d v="2023-05-19T00:00:00"/>
    <d v="2028-05-18T00:00:00"/>
    <s v="Contract"/>
    <s v="SCRYER LLC"/>
    <s v="SAN JUAN"/>
    <s v="Rectificador de alcohol para consumo"/>
    <x v="10"/>
    <n v="53000"/>
    <n v="0"/>
    <n v="46289.26"/>
    <n v="6710.739999999998"/>
    <n v="27.82"/>
  </r>
  <r>
    <s v="FIE60-2022-2023-0050"/>
    <s v="2023-002234"/>
    <x v="55"/>
    <d v="2023-05-26T00:00:00"/>
    <d v="2025-05-25T00:00:00"/>
    <s v="Contract"/>
    <s v="ABBYS PIZZA AND DELIVERY CORP."/>
    <s v="TOA ALTA"/>
    <m/>
    <x v="24"/>
    <n v="50000"/>
    <n v="0"/>
    <n v="0"/>
    <n v="50000"/>
    <s v="Programa de apoyo a empresarios minoritarios"/>
  </r>
  <r>
    <s v="FIE60-2022-2023-0050"/>
    <s v="2023-002236"/>
    <x v="55"/>
    <d v="2023-05-26T00:00:00"/>
    <d v="2025-05-25T00:00:00"/>
    <s v="Contract"/>
    <s v="ARR CONSTRUCTION &amp; ENGINEERING LLC"/>
    <s v="MOROVIS"/>
    <m/>
    <x v="24"/>
    <n v="50000"/>
    <n v="0"/>
    <n v="35000"/>
    <n v="15000"/>
    <s v="Programa de apoyo a empresarios minoritarios"/>
  </r>
  <r>
    <s v="FIE60-2022-2023-0050"/>
    <s v="2023-002238"/>
    <x v="55"/>
    <d v="2023-05-26T00:00:00"/>
    <d v="2025-05-25T00:00:00"/>
    <s v="Contract"/>
    <s v="JONATHAN CRESPO CAMACHO"/>
    <s v="PATILLAS"/>
    <m/>
    <x v="24"/>
    <n v="50000"/>
    <n v="0"/>
    <n v="0"/>
    <n v="50000"/>
    <s v="Programa de apoyo a empresarios minoritarios"/>
  </r>
  <r>
    <s v="FIE60-2022-2023-0050"/>
    <s v="2023-002239"/>
    <x v="55"/>
    <d v="2023-05-26T00:00:00"/>
    <d v="2025-05-25T00:00:00"/>
    <s v="Contract"/>
    <s v="CPA RAMON TRABAL RIOS &amp; ASSOC LLC"/>
    <s v="AGUADA"/>
    <s v="Pymes-CCE Capital Semilla-Impulso"/>
    <x v="24"/>
    <n v="50000"/>
    <m/>
    <n v="19294.98"/>
    <n v="30705.02"/>
    <s v="Programa de apoyo a empresarios minoritarios"/>
  </r>
  <r>
    <s v="FIE60-2022-2023-0050"/>
    <s v="2023-002240"/>
    <x v="55"/>
    <d v="2023-05-26T00:00:00"/>
    <d v="2025-05-25T00:00:00"/>
    <s v="Contract"/>
    <s v="CYCLONE GROUP CONTRACTORS LLC"/>
    <s v="GUAYNABO"/>
    <m/>
    <x v="24"/>
    <n v="50000"/>
    <n v="0"/>
    <n v="49900"/>
    <n v="100"/>
    <s v="Programa de apoyo a empresarios minoritarios"/>
  </r>
  <r>
    <s v="FIE60-2022-2023-0050"/>
    <s v="2023-002241"/>
    <x v="55"/>
    <d v="2023-05-26T00:00:00"/>
    <d v="2025-05-25T00:00:00"/>
    <s v="Contract"/>
    <s v="ESTUDIO LEGAL ENLACE LLC"/>
    <s v="CAGUAS"/>
    <s v="Pymes-CCE Capital Semilla-Impulso"/>
    <x v="24"/>
    <n v="50000"/>
    <n v="0"/>
    <n v="38232.380000000005"/>
    <n v="11767.619999999995"/>
    <s v="Programa de apoyo a empresarios minoritarios"/>
  </r>
  <r>
    <s v="FIE60-2022-2023-0050"/>
    <s v="2023-002242"/>
    <x v="55"/>
    <d v="2023-05-26T00:00:00"/>
    <d v="2025-05-25T00:00:00"/>
    <s v="Contract"/>
    <s v="FAMAWORKS LLC"/>
    <s v="SAN JUAN"/>
    <s v="Comercio al detal"/>
    <x v="24"/>
    <n v="50000"/>
    <n v="0"/>
    <n v="44055"/>
    <n v="5945"/>
    <s v="Programa de apoyo a empresarios minoritarios"/>
  </r>
  <r>
    <s v="FIE60-2022-2023-0050"/>
    <s v="2023-002243"/>
    <x v="55"/>
    <d v="2023-05-26T00:00:00"/>
    <d v="2025-05-25T00:00:00"/>
    <s v="Contract"/>
    <s v="KOKE ANN GARDENS LLC"/>
    <s v="DORADO"/>
    <s v="Pymes-CCE Capital Semilla-Impulso"/>
    <x v="24"/>
    <n v="50000"/>
    <n v="0"/>
    <n v="49307.66"/>
    <n v="692.33999999999651"/>
    <s v="Programa de apoyo a empresarios minoritarios"/>
  </r>
  <r>
    <s v="FIE60-2022-2023-0050"/>
    <s v="2023-002244"/>
    <x v="55"/>
    <d v="2023-05-26T00:00:00"/>
    <d v="2025-05-25T00:00:00"/>
    <s v="Contract"/>
    <s v="L AND L RIVERA CORP."/>
    <s v="VEGA BAJA"/>
    <s v="Bebidas y alimentos"/>
    <x v="24"/>
    <n v="40000"/>
    <n v="0"/>
    <n v="38879.929999999993"/>
    <n v="1120.070000000007"/>
    <s v="Programa de apoyo a empresarios minoritarios"/>
  </r>
  <r>
    <s v="FIE60-2022-2023-0050"/>
    <s v="2023-002246"/>
    <x v="55"/>
    <d v="2023-05-26T00:00:00"/>
    <d v="2025-05-25T00:00:00"/>
    <s v="Contract"/>
    <s v="LUIS E. RODRIGUEZ POMALES"/>
    <s v="NARANJITO"/>
    <s v="Pymes-CCE Capital Semilla-Impulso"/>
    <x v="24"/>
    <n v="20000"/>
    <n v="0"/>
    <n v="16756.769999999997"/>
    <n v="3243.2300000000032"/>
    <s v="Programa de apoyo a empresarios minoritarios"/>
  </r>
  <r>
    <s v="FIE60-2022-2023-0050"/>
    <s v="2023-002247"/>
    <x v="55"/>
    <d v="2023-05-26T00:00:00"/>
    <d v="2025-05-25T00:00:00"/>
    <s v="Contract"/>
    <s v="OTAOLA DISTRIBUTORS LLC"/>
    <s v="CAROLINA"/>
    <s v="Comercio al detal"/>
    <x v="24"/>
    <n v="50000"/>
    <n v="0"/>
    <n v="33751"/>
    <n v="16249"/>
    <s v="Programa de apoyo a empresarios minoritarios"/>
  </r>
  <r>
    <s v="FIE60-2022-2023-0050"/>
    <s v="2023-002248"/>
    <x v="55"/>
    <d v="2023-05-26T00:00:00"/>
    <d v="2025-05-25T00:00:00"/>
    <s v="Contract"/>
    <s v="MF TRADING LLC."/>
    <s v="PONCE"/>
    <m/>
    <x v="24"/>
    <n v="50000"/>
    <n v="0"/>
    <n v="0"/>
    <n v="50000"/>
    <s v="Programa de apoyo a empresarios minoritarios"/>
  </r>
  <r>
    <s v="FIE60-2022-2023-0050"/>
    <s v="2023-002250"/>
    <x v="55"/>
    <d v="2023-05-26T00:00:00"/>
    <d v="2025-05-25T00:00:00"/>
    <s v="Contract"/>
    <s v="PR PRODUCTS AND SERVICES CORP."/>
    <s v="LARES"/>
    <s v="Manufactura"/>
    <x v="24"/>
    <n v="50000"/>
    <n v="0"/>
    <n v="46770"/>
    <n v="3230"/>
    <s v="Programa de apoyo a empresarios minoritarios"/>
  </r>
  <r>
    <s v="FIE60-2022-2023-0050"/>
    <s v="2023-002251"/>
    <x v="55"/>
    <d v="2023-05-26T00:00:00"/>
    <d v="2025-05-25T00:00:00"/>
    <s v="Contract"/>
    <s v="RIVERO CONSTRUCTION CORPORATION"/>
    <s v="GUAYNABO"/>
    <m/>
    <x v="24"/>
    <n v="50000"/>
    <n v="0"/>
    <n v="0"/>
    <n v="50000"/>
    <s v="Programa de apoyo a empresarios minoritarios"/>
  </r>
  <r>
    <s v="FIE60-2022-2023-0050"/>
    <s v="2023-002253"/>
    <x v="55"/>
    <d v="2023-05-26T00:00:00"/>
    <d v="2025-05-25T00:00:00"/>
    <s v="Contract"/>
    <s v="SLOCUM VENTURES LLC"/>
    <s v="GUAYNABO"/>
    <m/>
    <x v="24"/>
    <n v="50000"/>
    <n v="0"/>
    <n v="43505.41"/>
    <n v="6494.5899999999965"/>
    <s v="Programa de apoyo a empresarios minoritarios"/>
  </r>
  <r>
    <s v="FIE60-2022-2023-0050"/>
    <s v="2023-002254"/>
    <x v="55"/>
    <d v="2023-05-26T00:00:00"/>
    <d v="2025-05-25T00:00:00"/>
    <s v="Contract"/>
    <s v="THE TREEHOUSE CHILD DEVELOPMENT"/>
    <s v="SAN JUAN"/>
    <s v="Pymes-CCE Capital Semilla-Impulso"/>
    <x v="24"/>
    <n v="50000"/>
    <n v="0"/>
    <n v="49955.100000000006"/>
    <n v="44.899999999994179"/>
    <s v="Programa de apoyo a empresarios minoritarios"/>
  </r>
  <r>
    <s v="FIE60-2022-2023-0050"/>
    <s v="2023-002255"/>
    <x v="55"/>
    <d v="2023-05-26T00:00:00"/>
    <d v="2025-05-25T00:00:00"/>
    <s v="Cancelled"/>
    <s v="4X4 PUERTO RICO CORP."/>
    <s v="SAN JUAN"/>
    <s v="Comercio al detal"/>
    <x v="24"/>
    <n v="50000"/>
    <n v="54.48"/>
    <n v="49945.520000000004"/>
    <n v="0"/>
    <s v="Programa de apoyo a empresarios minoritarios.  Finanzas solicita cancelar balance al 4-10-2025"/>
  </r>
  <r>
    <s v="FIE60-2022-2023-0050"/>
    <s v="2023-002256"/>
    <x v="55"/>
    <d v="2023-05-26T00:00:00"/>
    <d v="2025-05-25T00:00:00"/>
    <s v="Contract"/>
    <s v="JOSE A. MONTALVO RIVERA"/>
    <s v="BARCELONETA"/>
    <s v="Turismo"/>
    <x v="24"/>
    <n v="50000"/>
    <n v="0"/>
    <n v="39401.46"/>
    <n v="10598.54"/>
    <s v="Programa de apoyo a empresarios minoritarios"/>
  </r>
  <r>
    <s v="FIE60-2022-2023-0050"/>
    <s v="2023-002257"/>
    <x v="55"/>
    <d v="2023-05-26T00:00:00"/>
    <d v="2025-05-25T00:00:00"/>
    <s v="Contract"/>
    <s v="FRANCISCO FARRARO SANTIAGO"/>
    <s v="GUAYAMA"/>
    <s v="Comercio al detal"/>
    <x v="24"/>
    <n v="30000"/>
    <n v="0"/>
    <n v="0"/>
    <n v="30000"/>
    <s v="Programa de apoyo a empresarios minoritarios"/>
  </r>
  <r>
    <s v="FIE60-2022-2023-0050"/>
    <s v="2023-002258"/>
    <x v="55"/>
    <d v="2023-05-26T00:00:00"/>
    <d v="2025-05-25T00:00:00"/>
    <s v="Contract"/>
    <s v="FILOMENA CARNITAS INC"/>
    <s v="SAN JUAN"/>
    <s v="Bebidas y alimentos"/>
    <x v="24"/>
    <n v="50000"/>
    <n v="0"/>
    <n v="50000"/>
    <n v="0"/>
    <s v="Programa de apoyo a empresarios minoritarios"/>
  </r>
  <r>
    <s v="FIE60-2022-2023-0050"/>
    <s v="2023-002259"/>
    <x v="55"/>
    <d v="2023-05-26T00:00:00"/>
    <d v="2025-05-25T00:00:00"/>
    <s v="Contract"/>
    <s v="NECTAR ACAI AND LUNCH"/>
    <s v="CAGUAS"/>
    <s v="Bebidas y alimentos"/>
    <x v="24"/>
    <n v="40000"/>
    <n v="0"/>
    <n v="40000"/>
    <n v="0"/>
    <s v="Programa de apoyo a empresarios minoritarios"/>
  </r>
  <r>
    <s v="FIE60-2022-2023-0050"/>
    <s v="2023-002260"/>
    <x v="55"/>
    <d v="2023-05-26T00:00:00"/>
    <d v="2025-05-25T00:00:00"/>
    <s v="Contract"/>
    <s v="FELIX BARBOSA ENTERPRISES LLC"/>
    <s v="CAGUAS"/>
    <s v="Comercio al detal"/>
    <x v="24"/>
    <n v="35000"/>
    <n v="0"/>
    <n v="0"/>
    <n v="35000"/>
    <s v="Programa de apoyo a empresarios minoritarios"/>
  </r>
  <r>
    <s v="FIE60-2022-2023-0050"/>
    <s v="2023-002262"/>
    <x v="55"/>
    <d v="2023-05-26T00:00:00"/>
    <d v="2025-05-25T00:00:00"/>
    <s v="Contract"/>
    <s v="GF HEALTHY FAST FOOD LLC"/>
    <s v="SAN JUAN"/>
    <s v="Bebidas y alimentos"/>
    <x v="24"/>
    <n v="30000"/>
    <n v="0"/>
    <n v="30000"/>
    <n v="0"/>
    <s v="Programa de apoyo a empresarios minoritarios"/>
  </r>
  <r>
    <s v="FIE60-2022-2023-0050"/>
    <s v="2023-002263"/>
    <x v="55"/>
    <d v="2023-05-26T00:00:00"/>
    <d v="2025-05-25T00:00:00"/>
    <s v="Contract"/>
    <s v="KSTYLE BOUTIQUE, INC."/>
    <s v="TOA BAJA"/>
    <s v="Comercio al detal"/>
    <x v="24"/>
    <n v="30000"/>
    <n v="0"/>
    <n v="0"/>
    <n v="30000"/>
    <s v="Programa de apoyo a empresarios minoritarios"/>
  </r>
  <r>
    <s v="FIE60-2022-2023-0050"/>
    <s v="2023-002264"/>
    <x v="55"/>
    <d v="2023-05-26T00:00:00"/>
    <d v="2025-05-25T00:00:00"/>
    <s v="Contract"/>
    <s v="CHESS ADVERTISING GROUP"/>
    <s v="HATILLO"/>
    <m/>
    <x v="24"/>
    <n v="7200"/>
    <n v="0"/>
    <n v="0"/>
    <n v="7200"/>
    <s v="Programa de apoyo a empresarios minoritarios"/>
  </r>
  <r>
    <s v="FIE60-2022-2023-0050"/>
    <s v="2023-002265"/>
    <x v="55"/>
    <d v="2023-05-26T00:00:00"/>
    <d v="2025-05-25T00:00:00"/>
    <s v="Contract"/>
    <s v="713 PRECAST LLC"/>
    <s v="TOA ALTA"/>
    <s v="Manufactura"/>
    <x v="24"/>
    <n v="50000"/>
    <n v="0"/>
    <n v="24400"/>
    <n v="25600"/>
    <s v="Programa de apoyo a empresarios minoritarios"/>
  </r>
  <r>
    <s v="FIE60-2022-2023-0050"/>
    <s v="2023-002266"/>
    <x v="55"/>
    <d v="2023-05-26T00:00:00"/>
    <d v="2025-05-25T00:00:00"/>
    <s v="Contract"/>
    <s v="IRC EMBROIDERY"/>
    <s v="CAGUAS"/>
    <s v="Manufactura"/>
    <x v="24"/>
    <n v="50000"/>
    <n v="0"/>
    <n v="6532.2"/>
    <n v="43467.8"/>
    <s v="Programa de apoyo a empresarios minoritarios"/>
  </r>
  <r>
    <s v="FIE60-2022-2023-0050"/>
    <s v="2023-002267"/>
    <x v="55"/>
    <d v="2023-05-26T00:00:00"/>
    <d v="2025-05-25T00:00:00"/>
    <s v="Contract"/>
    <s v="RADIADORES Y GOMERA HICO LLC"/>
    <s v="MOROVIS"/>
    <m/>
    <x v="24"/>
    <n v="50000"/>
    <n v="0"/>
    <n v="43794.99"/>
    <n v="6205.010000000002"/>
    <s v="Programa de apoyo a empresarios minoritarios"/>
  </r>
  <r>
    <s v="FIE60-2022-2023-0050"/>
    <s v="2023-002268"/>
    <x v="55"/>
    <d v="2023-05-26T00:00:00"/>
    <d v="2025-05-25T00:00:00"/>
    <s v="Contract"/>
    <s v="ROSARIO ALMA, LLC"/>
    <s v="HATILLO"/>
    <s v="Bebidas y alimentos"/>
    <x v="24"/>
    <n v="50000"/>
    <n v="0"/>
    <n v="0"/>
    <n v="50000"/>
    <s v="Programa de apoyo a empresarios minoritarios"/>
  </r>
  <r>
    <s v="FIE60-2022-2023-0050"/>
    <s v="2023-002270"/>
    <x v="55"/>
    <d v="2023-05-26T00:00:00"/>
    <d v="2025-05-25T00:00:00"/>
    <s v="Contract"/>
    <s v="GOMERA RIVERA"/>
    <s v="MOCA"/>
    <s v="Comercio al detal"/>
    <x v="24"/>
    <n v="35000"/>
    <n v="0"/>
    <n v="31390.13"/>
    <n v="3609.869999999999"/>
    <s v="Programa de apoyo a empresarios minoritarios"/>
  </r>
  <r>
    <s v="FIE60-2022-2023-0113"/>
    <s v="2023-002303"/>
    <x v="85"/>
    <d v="2023-05-30T00:00:00"/>
    <d v="2029-05-29T00:00:00"/>
    <s v="Contract"/>
    <s v="IFCO RECYCLING, INC."/>
    <s v="TOA BAJA"/>
    <s v="Reciclaje de papel, plástico, cartón y aluminio"/>
    <x v="8"/>
    <n v="148000"/>
    <n v="0"/>
    <n v="0"/>
    <n v="148000"/>
    <n v="2.0299999999999998"/>
  </r>
  <r>
    <s v="FIE60-2022-2023-0114"/>
    <s v="2023-002304"/>
    <x v="85"/>
    <d v="2023-05-30T00:00:00"/>
    <d v="2029-05-29T00:00:00"/>
    <s v="Contract"/>
    <s v="IFCO RECYCLING, INC."/>
    <s v="TOA BAJA"/>
    <s v="Reciclaje de papel, plástico, cartón y aluminio"/>
    <x v="10"/>
    <n v="2700000"/>
    <n v="0"/>
    <n v="0"/>
    <n v="2700000"/>
    <n v="2.0299999999999998"/>
  </r>
  <r>
    <s v="FIE60-2022-2023-0166"/>
    <s v="2023-002301"/>
    <x v="90"/>
    <d v="2023-05-30T00:00:00"/>
    <d v="2024-11-29T00:00:00"/>
    <s v="Contract"/>
    <s v="MIRAMAR BREWING LLC"/>
    <s v="CAROLINA"/>
    <s v="Manufactura de cervezas artesanales"/>
    <x v="8"/>
    <n v="19687.5"/>
    <n v="0"/>
    <n v="2500"/>
    <n v="17187.5"/>
    <n v="9.23"/>
  </r>
  <r>
    <s v="FIE60-2022-2023-0167"/>
    <s v="2023-002302"/>
    <x v="90"/>
    <d v="2023-05-30T00:00:00"/>
    <d v="2028-05-29T00:00:00"/>
    <s v="Contract"/>
    <s v="MIRAMAR BREWING LLC"/>
    <s v="CAROLINA"/>
    <s v="Manufactura de cervezas artesanales"/>
    <x v="10"/>
    <n v="752376"/>
    <n v="0"/>
    <n v="708077.85"/>
    <n v="44298.150000000023"/>
    <n v="9.23"/>
  </r>
  <r>
    <s v="FIE60-2022-2023-0213"/>
    <s v="2023-002338"/>
    <x v="83"/>
    <d v="2023-05-31T00:00:00"/>
    <d v="2028-05-30T00:00:00"/>
    <s v="Contract"/>
    <s v="MASTER METAL FABRICATORS CORP."/>
    <s v="ARECIBO"/>
    <s v="Manufactura de piezas customizadas en diferentes metales"/>
    <x v="8"/>
    <n v="3000"/>
    <n v="0"/>
    <n v="0"/>
    <n v="3000"/>
    <n v="12.98"/>
  </r>
  <r>
    <s v="FIE60-2022-2023-0050"/>
    <s v="2023-002307"/>
    <x v="55"/>
    <d v="2023-06-02T00:00:00"/>
    <d v="2025-06-01T00:00:00"/>
    <s v="Contract"/>
    <s v="ACADEMIA NUESTRA SENORA DE FATIMA, INC."/>
    <s v="BARCELONETA"/>
    <s v="Academia educativa"/>
    <x v="24"/>
    <n v="50000"/>
    <n v="0"/>
    <n v="0"/>
    <n v="50000"/>
    <s v="Programa de apoyo a empresarios minoritarios"/>
  </r>
  <r>
    <s v="FIE60-2022-2023-0032"/>
    <s v="2023-002306"/>
    <x v="55"/>
    <d v="2023-06-02T00:00:00"/>
    <d v="2023-06-30T00:00:00"/>
    <s v="Contract"/>
    <s v="UNIVERSIDAD INTERAMERICANA DE PR"/>
    <s v="BAYAMON"/>
    <s v="Estancia de investigación científica para dos estudiantes - universidad complutense de madrid"/>
    <x v="16"/>
    <n v="3600"/>
    <n v="0"/>
    <n v="3491.98"/>
    <n v="108.01999999999998"/>
    <s v="Programa de apoyo a empresarios minoritarios"/>
  </r>
  <r>
    <s v="FIE60-2022-2023-0050"/>
    <s v="2023-002328"/>
    <x v="55"/>
    <d v="2023-06-02T00:00:00"/>
    <d v="2025-06-01T00:00:00"/>
    <s v="Contract"/>
    <s v="LULE, CORP."/>
    <s v="CIDRA"/>
    <s v="Reparación autos"/>
    <x v="24"/>
    <n v="50000"/>
    <n v="0"/>
    <n v="0"/>
    <n v="50000"/>
    <s v="Programa de apoyo a empresarios minoritarios"/>
  </r>
  <r>
    <s v="FIE60-2022-2023-0050"/>
    <s v="2023-002329"/>
    <x v="55"/>
    <d v="2023-06-02T00:00:00"/>
    <d v="2025-06-01T00:00:00"/>
    <s v="Contract"/>
    <s v="H. CALERO CONSULTING GROUP, INC."/>
    <s v="SAN JUAN"/>
    <s v="Consultoría"/>
    <x v="24"/>
    <n v="25000"/>
    <n v="0"/>
    <n v="10776"/>
    <n v="14224"/>
    <s v="Programa de apoyo a empresarios minoritarios"/>
  </r>
  <r>
    <s v="FIE60-2022-2023-0050"/>
    <s v="2023-002315"/>
    <x v="55"/>
    <d v="2023-06-02T00:00:00"/>
    <d v="2025-06-01T00:00:00"/>
    <s v="Contract"/>
    <s v="JAEO CORPORATION"/>
    <s v="GURABO"/>
    <s v="Bebidas y alimentos"/>
    <x v="24"/>
    <n v="50000"/>
    <n v="0"/>
    <n v="0"/>
    <n v="50000"/>
    <s v="Programa de apoyo a empresarios minoritarios"/>
  </r>
  <r>
    <s v="FIE60-2022-2023-0188"/>
    <s v="2023-002334"/>
    <x v="91"/>
    <d v="2023-06-05T00:00:00"/>
    <d v="2028-06-04T00:00:00"/>
    <s v="Contract"/>
    <s v="ISLA BORINQUEN LLC"/>
    <s v="SAN JUAN"/>
    <s v="Reparacion y mantenimiento de barcos y yates"/>
    <x v="8"/>
    <n v="175000"/>
    <n v="0"/>
    <n v="0"/>
    <n v="175000"/>
    <n v="2.0699999999999998"/>
  </r>
  <r>
    <s v="FIE60-2022-2023-0189"/>
    <s v="2023-002335"/>
    <x v="91"/>
    <d v="2023-06-05T00:00:00"/>
    <d v="2028-06-04T00:00:00"/>
    <s v="Contract"/>
    <s v="ISLA BORINQUEN LLC"/>
    <s v="SAN JUAN"/>
    <s v="Reparacion y mantenimiento de barcos y yates"/>
    <x v="10"/>
    <n v="1750000"/>
    <n v="0"/>
    <n v="1270122.8700000001"/>
    <n v="479877.12999999989"/>
    <n v="2.0699999999999998"/>
  </r>
  <r>
    <s v="FIE60-2022-2023-0245"/>
    <s v="2023-002368"/>
    <x v="91"/>
    <d v="2023-06-06T00:00:00"/>
    <d v="2028-06-05T00:00:00"/>
    <s v="Contract"/>
    <s v="CERVECERA DE PUERTO RICO, INC."/>
    <s v="MAYAGÜEZ"/>
    <s v="Elaboracion de cervezas y maltas"/>
    <x v="9"/>
    <n v="2500000"/>
    <n v="0"/>
    <n v="0"/>
    <n v="2500000"/>
    <n v="195.86"/>
  </r>
  <r>
    <s v="FIE60-2022-2023-0038"/>
    <s v="2023-002337"/>
    <x v="55"/>
    <d v="2023-06-07T00:00:00"/>
    <d v="2024-06-06T00:00:00"/>
    <s v="Cancelled"/>
    <s v="AUTOPAK ENGINEERING CORP."/>
    <s v="CAGUAS"/>
    <s v="Manufactura de maquinaria robótica"/>
    <x v="26"/>
    <n v="15000"/>
    <n v="11697.93"/>
    <n v="3302.07"/>
    <n v="0"/>
    <s v="Programa de apoyo a empresarios minoritarios"/>
  </r>
  <r>
    <s v="FIE60-2021-2022-0165"/>
    <s v="2022-000420-B"/>
    <x v="63"/>
    <d v="2023-06-09T00:00:00"/>
    <d v="2027-03-23T00:00:00"/>
    <s v="Contract"/>
    <s v="ONE HEALTH DIRECT, LLC"/>
    <s v="SAN JUAN"/>
    <s v="Ayudar a clientes y pacientes  en los ee.uu. Y todos sus territorios. Exportando servicios desde puerto rico."/>
    <x v="10"/>
    <n v="500000"/>
    <n v="0"/>
    <n v="346563.66000000003"/>
    <n v="153436.33999999997"/>
    <n v="8.3500000000000005E-2"/>
  </r>
  <r>
    <s v="FIE60-2022-2023-0050"/>
    <s v="2023-002344"/>
    <x v="55"/>
    <d v="2023-06-13T00:00:00"/>
    <d v="2025-06-12T00:00:00"/>
    <s v="Contract"/>
    <s v="CASA VIEJA INC"/>
    <s v="CIALES"/>
    <s v="Bebidas y alimentos"/>
    <x v="24"/>
    <n v="30000"/>
    <n v="0"/>
    <n v="0"/>
    <n v="30000"/>
    <s v="Programa de apoyo a empresarios minoritarios"/>
  </r>
  <r>
    <s v="FIE60-2022-2023-0050"/>
    <s v="2023-002349"/>
    <x v="55"/>
    <d v="2023-06-13T00:00:00"/>
    <d v="2025-06-12T00:00:00"/>
    <s v="Contract"/>
    <s v="PIZZALATO LLC "/>
    <s v="PONCE"/>
    <s v="Bebidas y alimentos"/>
    <x v="24"/>
    <n v="50000"/>
    <n v="0"/>
    <n v="50000"/>
    <n v="0"/>
    <s v="Programa de apoyo a empresarios minoritarios"/>
  </r>
  <r>
    <s v="FIE60-2022-2023-0050"/>
    <s v="2023-002356"/>
    <x v="55"/>
    <d v="2023-06-13T00:00:00"/>
    <d v="2025-06-12T00:00:00"/>
    <s v="Contract"/>
    <s v="PUERTO RICO EAST GOKARTS INC "/>
    <s v="LUQUILLO"/>
    <s v="Turismo (pista gokarts)"/>
    <x v="24"/>
    <n v="50000"/>
    <n v="0"/>
    <n v="50000"/>
    <n v="0"/>
    <s v="Programa de apoyo a empresarios minoritarios"/>
  </r>
  <r>
    <s v="FIE60-2022-2023-0050"/>
    <s v="2023-002358"/>
    <x v="55"/>
    <d v="2023-06-13T00:00:00"/>
    <d v="2025-06-12T00:00:00"/>
    <s v="Contract"/>
    <s v="PICORETO THERAPY GROUP LLC"/>
    <s v="RIO GRANDE"/>
    <s v="Clínica de servicios de evaluación y terapia a niños"/>
    <x v="24"/>
    <n v="50000"/>
    <n v="0"/>
    <n v="0"/>
    <n v="50000"/>
    <s v="Programa de apoyo a empresarios minoritarios"/>
  </r>
  <r>
    <s v="FIE60-2022-2023-0243"/>
    <s v="2023-002369"/>
    <x v="91"/>
    <d v="2023-06-14T00:00:00"/>
    <d v="2028-06-13T00:00:00"/>
    <s v="Contract"/>
    <s v="CERVECERA DE PUERTO RICO, INC."/>
    <s v="MAYAGÜEZ"/>
    <s v="Elaboracion de cervezas y maltas"/>
    <x v="8"/>
    <n v="330000"/>
    <n v="0"/>
    <n v="0"/>
    <n v="330000"/>
    <n v="195.86"/>
  </r>
  <r>
    <s v="FIE60-2022-2023-0244"/>
    <s v="2023-002370"/>
    <x v="91"/>
    <d v="2023-06-14T00:00:00"/>
    <d v="2028-06-13T00:00:00"/>
    <s v="Contract"/>
    <s v="CERVECERA DE PUERTO RICO, INC."/>
    <s v="MAYAGÜEZ"/>
    <s v="Elaboracion de cervezas y maltas"/>
    <x v="10"/>
    <n v="8000000"/>
    <n v="0"/>
    <n v="1491728.49"/>
    <n v="6508271.5099999998"/>
    <n v="195.86"/>
  </r>
  <r>
    <s v="FIE60-2022-2023-0027"/>
    <s v="2023-002375"/>
    <x v="55"/>
    <d v="2023-06-14T00:00:00"/>
    <d v="2023-06-18T00:00:00"/>
    <s v="Contract"/>
    <s v="CASA CULTURAL AFRO-CARIBEÑA CENTRO YUIZA MUSEO COMUNITARIO INC"/>
    <s v="LOIZA"/>
    <s v="Fiestas de san antonio de padua"/>
    <x v="15"/>
    <n v="626.92999999999995"/>
    <n v="0"/>
    <n v="0"/>
    <n v="626.92999999999995"/>
    <s v="Programa de apoyo a empresarios minoritarios"/>
  </r>
  <r>
    <s v="FIE60-2022-2023-0207"/>
    <s v="2023-002379"/>
    <x v="83"/>
    <d v="2023-06-16T00:00:00"/>
    <d v="2028-06-15T00:00:00"/>
    <s v="Contract"/>
    <s v="JA OIL RECYCLING CORP "/>
    <s v="TOA ALTA"/>
    <s v="Reciclaje de residuos de aceite vegetal y otros, sin limitarse a los mismos"/>
    <x v="8"/>
    <n v="18000"/>
    <n v="0"/>
    <n v="0"/>
    <n v="18000"/>
    <n v="1.49"/>
  </r>
  <r>
    <s v="FIE60-2022-2023-0208"/>
    <s v="2023-002378"/>
    <x v="83"/>
    <d v="2023-06-16T00:00:00"/>
    <d v="2028-06-15T00:00:00"/>
    <s v="Contract"/>
    <s v="JA OIL RECYCLING CORP "/>
    <s v="TOA ALTA"/>
    <s v="Reciclaje de residuos de aceite vegetal y otros, sin limitarse a los mismos"/>
    <x v="10"/>
    <n v="160000"/>
    <n v="0"/>
    <n v="0"/>
    <n v="160000"/>
    <n v="1.49"/>
  </r>
  <r>
    <s v="FIE60-2022-2023-0025"/>
    <s v="2023-002381"/>
    <x v="55"/>
    <d v="2023-06-16T00:00:00"/>
    <d v="2026-06-15T00:00:00"/>
    <s v="Contract"/>
    <s v="JOSE A. CANDELARIA CASAÑAS"/>
    <s v="QUEBRADILLAS"/>
    <s v="Renglón de maderas"/>
    <x v="15"/>
    <n v="1907"/>
    <n v="0"/>
    <n v="0"/>
    <n v="1907"/>
    <s v="Programa de apoyo a empresarios minoritarios"/>
  </r>
  <r>
    <s v="FIE60-2022-2023-0050"/>
    <s v="2023-002384"/>
    <x v="55"/>
    <d v="2023-06-16T00:00:00"/>
    <d v="2025-06-15T00:00:00"/>
    <s v="Contract"/>
    <s v="DREAM BOX  INC."/>
    <s v="FAJARDO"/>
    <s v="Otros (salud)"/>
    <x v="24"/>
    <n v="50000"/>
    <n v="0"/>
    <n v="42929.270000000004"/>
    <n v="7070.7299999999959"/>
    <s v="Programa de apoyo a empresarios minoritarios"/>
  </r>
  <r>
    <s v="FIE60-2022-2023-0050"/>
    <s v="2023-002386"/>
    <x v="55"/>
    <d v="2023-06-16T00:00:00"/>
    <d v="2025-06-15T00:00:00"/>
    <s v="Contract"/>
    <s v="TOQUE DI LEÑA CORP "/>
    <s v="SAN JUAN"/>
    <s v="Bebidas y alimentos"/>
    <x v="24"/>
    <n v="50000"/>
    <n v="0"/>
    <n v="20093.940000000002"/>
    <n v="29906.059999999998"/>
    <s v="Programa de apoyo a empresarios minoritarios"/>
  </r>
  <r>
    <s v="FIE60-2022-2023-0050"/>
    <s v="2023-002387"/>
    <x v="55"/>
    <d v="2023-06-16T00:00:00"/>
    <d v="2025-06-15T00:00:00"/>
    <s v="Contract"/>
    <s v="LA CASA DEL EBANISTA LLC "/>
    <s v="LAS PIEDRAS"/>
    <s v="Manufactura"/>
    <x v="24"/>
    <n v="50000"/>
    <n v="0"/>
    <n v="10487"/>
    <n v="39513"/>
    <s v="Programa de apoyo a empresarios minoritarios"/>
  </r>
  <r>
    <s v="FIE60-2022-2023-0050"/>
    <s v="2023-002389"/>
    <x v="55"/>
    <d v="2023-06-16T00:00:00"/>
    <d v="2025-06-15T00:00:00"/>
    <s v="Contract"/>
    <s v="CARIBBEAN OPTOMETRICS, INC."/>
    <s v="TRUJILLO ALTO"/>
    <s v="Otros (salud)"/>
    <x v="24"/>
    <n v="50000"/>
    <n v="0"/>
    <n v="12818.98"/>
    <n v="37181.020000000004"/>
    <s v="Programa de apoyo a empresarios minoritarios"/>
  </r>
  <r>
    <s v="FIE60-2022-2023-0050"/>
    <s v="2023-002391"/>
    <x v="55"/>
    <d v="2023-06-16T00:00:00"/>
    <d v="2025-06-15T00:00:00"/>
    <s v="Contract"/>
    <s v="VGF PROPERTIES INC "/>
    <s v="SAN JUAN"/>
    <s v="Bebidas y alimentos"/>
    <x v="24"/>
    <n v="50000"/>
    <n v="0"/>
    <n v="16394.25"/>
    <n v="33605.75"/>
    <s v="Programa de apoyo a empresarios minoritarios"/>
  </r>
  <r>
    <s v="FIE60-2022-2023-0050"/>
    <s v="2023-002392"/>
    <x v="55"/>
    <d v="2023-06-16T00:00:00"/>
    <d v="2025-06-15T00:00:00"/>
    <s v="Contract"/>
    <s v="CHARLIE PEREZ RODRIGUEZ "/>
    <s v="NARANJITO"/>
    <s v="Otros (salud)"/>
    <x v="24"/>
    <n v="50000"/>
    <n v="0"/>
    <n v="35080"/>
    <n v="14920"/>
    <s v="Programa de apoyo a empresarios minoritarios"/>
  </r>
  <r>
    <s v="FIE60-2022-2023-0050"/>
    <s v="2023-002393"/>
    <x v="55"/>
    <d v="2023-06-16T00:00:00"/>
    <d v="2025-06-15T00:00:00"/>
    <s v="Contract"/>
    <s v="FRESCURA, LLC"/>
    <s v="BAYAMON"/>
    <s v="Bebidas y alimentos"/>
    <x v="24"/>
    <n v="50000"/>
    <n v="0"/>
    <n v="50000"/>
    <n v="0"/>
    <s v="Programa de apoyo a empresarios minoritarios"/>
  </r>
  <r>
    <s v="FIE60-2022-2023-0050"/>
    <s v="2023-002394"/>
    <x v="55"/>
    <d v="2023-06-16T00:00:00"/>
    <d v="2025-06-15T00:00:00"/>
    <s v="Contract"/>
    <s v="AR SALES &amp; SERVICES INC "/>
    <s v="SAN JUAN"/>
    <s v="Comercio al detal"/>
    <x v="24"/>
    <n v="50000"/>
    <n v="0"/>
    <n v="49999.999999999993"/>
    <n v="0"/>
    <s v="Programa de apoyo a empresarios minoritarios"/>
  </r>
  <r>
    <s v="FIE60-2022-2023-0050"/>
    <s v="2023-002395"/>
    <x v="55"/>
    <d v="2023-06-16T00:00:00"/>
    <d v="2025-06-15T00:00:00"/>
    <s v="Contract"/>
    <s v="E AND  F DEVELOPMENT INC."/>
    <s v="SAN SEBASTIAN"/>
    <s v="Centro de adiestramiento y capacitación"/>
    <x v="24"/>
    <n v="50000"/>
    <n v="0"/>
    <n v="23125"/>
    <n v="26875"/>
    <s v="Programa de apoyo a empresarios minoritarios"/>
  </r>
  <r>
    <s v="FIE60-2022-2023-0050"/>
    <s v="2023-002396"/>
    <x v="55"/>
    <d v="2023-06-16T00:00:00"/>
    <d v="2025-06-15T00:00:00"/>
    <s v="Contract"/>
    <s v="DEBORAH L. SIERRA DE PABLO "/>
    <s v="TOA BAJA"/>
    <s v="Otros (belleza)"/>
    <x v="24"/>
    <n v="50000"/>
    <n v="0"/>
    <n v="45264.29"/>
    <n v="4735.7099999999991"/>
    <s v="Programa de apoyo a empresarios minoritarios"/>
  </r>
  <r>
    <s v="FIE60-2022-2023-0050"/>
    <s v="2023-002397"/>
    <x v="55"/>
    <d v="2023-06-16T00:00:00"/>
    <d v="2025-06-15T00:00:00"/>
    <s v="Contract"/>
    <s v="FNJCC CORPORATION"/>
    <s v="PONCE"/>
    <s v="Bebidas y alimentos"/>
    <x v="24"/>
    <n v="50000"/>
    <n v="0"/>
    <n v="40499.949999999997"/>
    <n v="9500.0500000000029"/>
    <s v="Programa de apoyo a empresarios minoritarios"/>
  </r>
  <r>
    <s v="FIE60-2022-2023-0050"/>
    <s v="2023-002399"/>
    <x v="55"/>
    <d v="2023-06-16T00:00:00"/>
    <d v="2025-06-15T00:00:00"/>
    <s v="Contract"/>
    <s v="SENSORY CENTRO DE DESARROLLO, LLC"/>
    <s v="CANOVANAS"/>
    <s v="Otros (salud)"/>
    <x v="24"/>
    <n v="50000"/>
    <n v="0"/>
    <n v="0"/>
    <n v="50000"/>
    <s v="Programa de apoyo a empresarios minoritarios"/>
  </r>
  <r>
    <s v="FIE60-2022-2023-0050"/>
    <s v="2023-002400"/>
    <x v="55"/>
    <d v="2023-06-16T00:00:00"/>
    <d v="2025-06-15T00:00:00"/>
    <s v="Contract"/>
    <s v="QUICK JEWELRY &amp; MORE, INC."/>
    <s v="SANTA ISABEL"/>
    <s v="Comercio al detal"/>
    <x v="24"/>
    <n v="50000"/>
    <n v="0"/>
    <n v="40443.270000000004"/>
    <n v="9556.7299999999959"/>
    <s v="Programa de apoyo a empresarios minoritarios"/>
  </r>
  <r>
    <s v="FIE60-2022-2023-0050"/>
    <s v="2023-002401"/>
    <x v="55"/>
    <d v="2023-06-16T00:00:00"/>
    <d v="2025-06-15T00:00:00"/>
    <s v="Contract"/>
    <s v="OMAR SOTO MENDEZ"/>
    <s v="MOCA"/>
    <s v="Bebidas y alimentos"/>
    <x v="24"/>
    <n v="50000"/>
    <n v="0"/>
    <n v="16065"/>
    <n v="33935"/>
    <s v="Programa de apoyo a empresarios minoritarios"/>
  </r>
  <r>
    <s v="FIE60-2022-2023-0050"/>
    <s v="2023-002402"/>
    <x v="55"/>
    <d v="2023-06-16T00:00:00"/>
    <d v="2025-06-15T00:00:00"/>
    <s v="Contract"/>
    <s v="ANAIS M. PEREZ FERNANDEZ"/>
    <s v="QUEBRADILLAS"/>
    <s v="Servicios de mediación conflictos y asesoría en relaciones laborales"/>
    <x v="24"/>
    <n v="50000"/>
    <n v="0"/>
    <n v="3553.92"/>
    <n v="46446.080000000002"/>
    <s v="Programa de apoyo a empresarios minoritarios"/>
  </r>
  <r>
    <s v="FIE60-2022-2023-0035"/>
    <s v="2023-002418"/>
    <x v="55"/>
    <d v="2023-06-22T00:00:00"/>
    <d v="2027-01-31T00:00:00"/>
    <s v="Contract"/>
    <s v="YILENIA ZAYAS BERRIOS"/>
    <s v="BARRANQUITAS"/>
    <s v="Beca Teodoro Moscoso Mora"/>
    <x v="16"/>
    <n v="40000"/>
    <n v="0"/>
    <n v="20000"/>
    <n v="20000"/>
    <s v="Programa de apoyo a empresarios minoritarios"/>
  </r>
  <r>
    <s v="FIE60-2022-2023-0035"/>
    <s v="2023-002419"/>
    <x v="55"/>
    <d v="2023-06-22T00:00:00"/>
    <d v="2027-01-31T00:00:00"/>
    <s v="Contract"/>
    <s v="EMILY AIDEE REMOND ADAMES"/>
    <s v="SALINAS"/>
    <s v="Beca Teodoro Moscoso Mora"/>
    <x v="16"/>
    <n v="40000"/>
    <n v="0"/>
    <n v="15000"/>
    <n v="25000"/>
    <s v="Programa de apoyo a empresarios minoritarios"/>
  </r>
  <r>
    <s v="FIE60-2022-2023-0035"/>
    <s v="2023-002420"/>
    <x v="55"/>
    <d v="2023-06-22T00:00:00"/>
    <d v="2027-01-31T00:00:00"/>
    <s v="Contract"/>
    <s v="GERSON G. SANTIAGO GONZALEZ"/>
    <s v="BAYAMÓN"/>
    <s v="Beca Teodoro Moscoso Mora"/>
    <x v="16"/>
    <n v="40000"/>
    <n v="0"/>
    <n v="20000"/>
    <n v="20000"/>
    <s v="Programa de apoyo a empresarios minoritarios"/>
  </r>
  <r>
    <s v="FIE60-2022-2023-0035"/>
    <s v="2023-002421"/>
    <x v="55"/>
    <d v="2023-06-22T00:00:00"/>
    <d v="2025-01-31T00:00:00"/>
    <s v="Contract"/>
    <s v="VANESSA D. RODRIGUEZ VAZQUEZ"/>
    <s v="Ponce"/>
    <s v="Beca Teodoro Moscoso Mora"/>
    <x v="16"/>
    <n v="20000"/>
    <n v="0"/>
    <n v="20000"/>
    <n v="0"/>
    <s v="Programa de apoyo a empresarios minoritarios"/>
  </r>
  <r>
    <s v="FIE60-2022-2023-0035"/>
    <s v="2023-002422"/>
    <x v="55"/>
    <d v="2023-06-22T00:00:00"/>
    <d v="2027-01-31T00:00:00"/>
    <s v="Contract"/>
    <s v="ALEXANDRA MARTINEZ ARZOLA"/>
    <m/>
    <s v="Beca Teodoro Moscoso Mora"/>
    <x v="16"/>
    <n v="40000"/>
    <n v="0"/>
    <n v="15000"/>
    <n v="25000"/>
    <s v="Programa de apoyo a empresarios minoritarios"/>
  </r>
  <r>
    <s v="FIE60-2022-2023-0035"/>
    <s v="2023-002423"/>
    <x v="55"/>
    <d v="2023-06-22T00:00:00"/>
    <d v="2026-01-31T00:00:00"/>
    <s v="Contract"/>
    <s v="FRANCHESKA MORALES GARCIA"/>
    <s v="SAN JUAN"/>
    <s v="Beca Teodoro Moscoso Mora"/>
    <x v="16"/>
    <n v="30000"/>
    <n v="0"/>
    <n v="20000"/>
    <n v="10000"/>
    <s v="Programa de apoyo a empresarios minoritarios"/>
  </r>
  <r>
    <s v="FIE60-2022-2023-0034"/>
    <s v="2023-000153-A"/>
    <x v="48"/>
    <d v="2023-06-26T00:00:00"/>
    <d v="2023-12-31T00:00:00"/>
    <s v="Contract"/>
    <s v="ANA A. QUINTERO SANTIAGO"/>
    <s v="SAN JUAN"/>
    <s v="Servicios legales"/>
    <x v="16"/>
    <n v="67200"/>
    <n v="0"/>
    <n v="46720"/>
    <n v="20480"/>
    <s v="Programa de apoyo a empresarios minoritarios"/>
  </r>
  <r>
    <s v="FIE60-2022-2023-0138"/>
    <s v="2023-002411"/>
    <x v="92"/>
    <d v="2023-06-26T00:00:00"/>
    <d v="2028-06-25T00:00:00"/>
    <s v="Contract"/>
    <s v="QG INDUSTRIES, INC."/>
    <s v="SAN JUAN"/>
    <s v="Manufactura de cristalería y espejos"/>
    <x v="8"/>
    <n v="18000"/>
    <n v="0"/>
    <n v="0"/>
    <n v="18000"/>
    <n v="1.54"/>
  </r>
  <r>
    <s v="FIE60-2022-2023-0139"/>
    <s v="2023-002412"/>
    <x v="92"/>
    <d v="2023-06-26T00:00:00"/>
    <d v="2028-06-25T00:00:00"/>
    <s v="Contract"/>
    <s v="QG INDUSTRIES, INC."/>
    <s v="SAN JUAN"/>
    <s v="Manufactura de cristalería y espejos"/>
    <x v="10"/>
    <n v="232000"/>
    <n v="0"/>
    <n v="163865.23000000001"/>
    <n v="68134.76999999999"/>
    <n v="1.54"/>
  </r>
  <r>
    <s v="FIE60-2022-2023-0108"/>
    <s v="2023-002061-A"/>
    <x v="85"/>
    <d v="2023-06-26T00:00:00"/>
    <d v="2028-03-05T00:00:00"/>
    <s v="Contract"/>
    <s v="FLEXIBLE &amp; INTEGRATED TECHNICAL SERVICES INC."/>
    <s v="AGUADA"/>
    <s v="Servicios profesionales de ingeniería y mantenimiento integrado para la industria farmacéutica y química, hospitales, manufactura y comercial"/>
    <x v="10"/>
    <n v="20000"/>
    <n v="0"/>
    <n v="7756.36"/>
    <n v="12243.64"/>
    <n v="71.95"/>
  </r>
  <r>
    <s v="FIE60-2022-2023-0103"/>
    <s v="2023-002409"/>
    <x v="41"/>
    <d v="2023-06-26T00:00:00"/>
    <d v="2028-06-25T00:00:00"/>
    <s v="Contract"/>
    <s v="ECHEM MANUFACTURING LLC"/>
    <s v="CAGUAS"/>
    <s v="Manufactura de detergentes y productos automotrices"/>
    <x v="10"/>
    <n v="51283"/>
    <n v="0"/>
    <n v="0"/>
    <n v="51283"/>
    <n v="5.37"/>
  </r>
  <r>
    <s v="FIE60-2022-2023-0164"/>
    <s v="2023-002415"/>
    <x v="93"/>
    <d v="2023-06-26T00:00:00"/>
    <d v="2028-06-25T00:00:00"/>
    <s v="Contract"/>
    <s v="J. GUERRA TURBO SHOP, INC."/>
    <s v="SAN SEBASTIAN"/>
    <s v="Manufactura de turbos, manifolds"/>
    <x v="8"/>
    <n v="15000"/>
    <n v="0"/>
    <n v="10500"/>
    <n v="4500"/>
    <n v="2.72"/>
  </r>
  <r>
    <s v="FIE60-2022-2023-0209"/>
    <s v="2023-002413"/>
    <x v="83"/>
    <d v="2023-06-26T00:00:00"/>
    <d v="2028-06-25T00:00:00"/>
    <s v="Contract"/>
    <s v="LA PALETERIA LLC"/>
    <s v="BAYAMON"/>
    <s v="Manufactura de helados de frutas naturales"/>
    <x v="8"/>
    <n v="25500"/>
    <n v="0"/>
    <n v="0"/>
    <n v="25500"/>
    <n v="12.31"/>
  </r>
  <r>
    <s v="FIE60-2022-2023-0210"/>
    <s v="2023-002414"/>
    <x v="83"/>
    <d v="2023-06-26T00:00:00"/>
    <d v="2028-06-25T00:00:00"/>
    <s v="Contract"/>
    <s v="LA PALETERIA LLC"/>
    <s v="BAYAMON"/>
    <s v="Manufactura de helados de frutas naturales"/>
    <x v="10"/>
    <n v="77427"/>
    <n v="0"/>
    <n v="38634.839999999997"/>
    <n v="38792.160000000003"/>
    <n v="12.31"/>
  </r>
  <r>
    <s v="FIE60-2022-2023-0196"/>
    <s v="2023-002407"/>
    <x v="94"/>
    <d v="2023-06-26T00:00:00"/>
    <d v="2026-06-25T00:00:00"/>
    <s v="Contract"/>
    <s v="CRIOLITE CORP"/>
    <s v="LAS PIEDRAS"/>
    <s v="Manufactura de comidas saludables congeladas"/>
    <x v="8"/>
    <n v="11250"/>
    <n v="0"/>
    <n v="7875"/>
    <n v="3375"/>
    <n v="4.29"/>
  </r>
  <r>
    <s v="FIE60-2022-2023-0036"/>
    <s v="2023-002406"/>
    <x v="55"/>
    <d v="2023-06-26T00:00:00"/>
    <d v="2026-06-25T00:00:00"/>
    <s v="Contract"/>
    <s v="AWARE, LLC"/>
    <s v="GUAYNABO"/>
    <s v="Plataforma aware app"/>
    <x v="17"/>
    <n v="40000"/>
    <n v="0"/>
    <n v="20000"/>
    <n v="20000"/>
    <s v="Programa de apoyo a empresarios minoritarios"/>
  </r>
  <r>
    <s v="FIE60-2022-2023-0038"/>
    <s v="2023-002332"/>
    <x v="55"/>
    <d v="2023-06-29T00:00:00"/>
    <d v="2024-06-28T00:00:00"/>
    <s v="Contract"/>
    <s v="E-CYCLING PUERTO RICO, INC."/>
    <s v="HUMACAO"/>
    <s v="Reciclaje parcial de equipos electrónicos y productos electrónicos relacionados"/>
    <x v="26"/>
    <n v="15123"/>
    <n v="0"/>
    <n v="15123"/>
    <n v="0"/>
    <s v="Programa de apoyo a empresarios minoritarios"/>
  </r>
  <r>
    <s v="FIE60-2022-2023-0037"/>
    <s v="2023-002435"/>
    <x v="55"/>
    <d v="2023-06-29T00:00:00"/>
    <d v="2024-12-28T00:00:00"/>
    <s v="Contract"/>
    <s v="BETTINA COSMETICS, INC."/>
    <s v="DORADO"/>
    <s v="Manufactura de productos de belleza"/>
    <x v="13"/>
    <n v="50000"/>
    <n v="0"/>
    <n v="0"/>
    <n v="50000"/>
    <s v="Programa de apoyo a empresarios minoritarios"/>
  </r>
  <r>
    <s v="FIE60-2022-2023-0037"/>
    <s v="2023-002439"/>
    <x v="55"/>
    <d v="2023-06-29T00:00:00"/>
    <d v="2024-12-28T00:00:00"/>
    <s v="Contract"/>
    <s v="AC CULINARY GROUP, LLC"/>
    <s v="CATAÑO"/>
    <s v="Manufactura de alimentos"/>
    <x v="13"/>
    <n v="50000"/>
    <n v="0"/>
    <n v="0"/>
    <n v="50000"/>
    <s v="Programa de apoyo a empresarios minoritarios"/>
  </r>
  <r>
    <s v="FIE60-2022-2023-0061"/>
    <s v="2023-002071-A"/>
    <x v="55"/>
    <d v="2023-06-30T00:00:00"/>
    <d v="2023-12-31T00:00:00"/>
    <s v="Contract"/>
    <s v="MUNICIPIO DE UTUADO"/>
    <s v="UTUADO"/>
    <s v="Programa de comercio y exportación-incentivo de rehabilitación de los cascos urbanos"/>
    <x v="12"/>
    <n v="10000"/>
    <n v="0"/>
    <n v="0"/>
    <n v="10000"/>
    <s v="Acuerdo colaborativo"/>
  </r>
  <r>
    <s v="FIE60-2022-2023-0061"/>
    <s v="2023-002072-A"/>
    <x v="55"/>
    <d v="2023-06-30T00:00:00"/>
    <d v="2023-12-31T00:00:00"/>
    <s v="Contract"/>
    <s v="MUNICIPIO DE QUEBRADILLAS"/>
    <s v="QUEBRADILLAS"/>
    <s v="Programa de comercio y exportación-incentivo de rehabilitación de los cascos urbanos"/>
    <x v="12"/>
    <n v="10000"/>
    <n v="0"/>
    <n v="0"/>
    <n v="10000"/>
    <s v="Acuerdo colaborativo"/>
  </r>
  <r>
    <s v="FIE60-2022-2023-0198"/>
    <s v="2023-002433"/>
    <x v="94"/>
    <d v="2023-06-30T00:00:00"/>
    <d v="2028-06-29T00:00:00"/>
    <s v="Contract"/>
    <s v="PURA VIDA BREWERY LLC"/>
    <s v="CABO ROJO"/>
    <s v="Manufactura de cervezas artesanales"/>
    <x v="8"/>
    <n v="2100"/>
    <n v="0"/>
    <n v="0"/>
    <n v="2100"/>
    <n v="4.5"/>
  </r>
  <r>
    <s v="FIE60-2022-2023-0199"/>
    <s v="2023-002434"/>
    <x v="94"/>
    <d v="2023-06-30T00:00:00"/>
    <d v="2028-06-29T00:00:00"/>
    <s v="Contract"/>
    <s v="PURA VIDA BREWERY LLC"/>
    <s v="CABO ROJO"/>
    <s v="Manufactura de cervezas artesanales"/>
    <x v="10"/>
    <n v="80631"/>
    <n v="0"/>
    <n v="0"/>
    <n v="80631"/>
    <n v="4.5"/>
  </r>
  <r>
    <s v="FIE60-2022-2023-0227"/>
    <s v="2023-002485"/>
    <x v="95"/>
    <d v="2023-06-30T00:00:00"/>
    <d v="2028-06-29T00:00:00"/>
    <s v="Contract"/>
    <s v="WAVE RANCH MANUFACTURING LLC."/>
    <s v="COROZAL"/>
    <s v="Manufactura de camisas y pantalones"/>
    <x v="8"/>
    <n v="22500"/>
    <n v="0"/>
    <n v="11250"/>
    <n v="11250"/>
    <n v="1.19"/>
  </r>
  <r>
    <s v="FIE60-2022-2023-0228"/>
    <s v="2023-002486"/>
    <x v="95"/>
    <d v="2023-06-30T00:00:00"/>
    <d v="2028-06-30T00:00:00"/>
    <s v="Contract"/>
    <s v="WAVE RANCH MANUFACTURING LLC."/>
    <s v="COROZAL"/>
    <s v="Manufactura de camisas y pantalones"/>
    <x v="10"/>
    <n v="100000"/>
    <n v="0"/>
    <n v="0"/>
    <n v="100000"/>
    <n v="1.19"/>
  </r>
  <r>
    <s v="FIE60-2022-2023-0229"/>
    <s v="2023-002487"/>
    <x v="95"/>
    <d v="2023-06-30T00:00:00"/>
    <d v="2028-06-29T00:00:00"/>
    <s v="Contract"/>
    <s v="WAVE RANCH MANUFACTURING LLC."/>
    <s v="COROZAL"/>
    <s v="Manufactura de camisas y pantalones"/>
    <x v="9"/>
    <n v="100000"/>
    <n v="0"/>
    <n v="0"/>
    <n v="100000"/>
    <n v="1.19"/>
  </r>
  <r>
    <s v="FIE60-2022-2023-0232"/>
    <s v="2023-002474"/>
    <x v="96"/>
    <d v="2023-06-30T00:00:00"/>
    <d v="2026-06-29T00:00:00"/>
    <s v="Contract"/>
    <s v="FINCA DOS HERMANAS LLC"/>
    <s v="UTUADO"/>
    <s v="Manufactura de pan, crutones, flan, tortilla española y escabeche de pana"/>
    <x v="8"/>
    <n v="9000"/>
    <n v="0"/>
    <n v="1500"/>
    <n v="7500"/>
    <n v="1.04"/>
  </r>
  <r>
    <s v="FIE60-2022-2023-0233"/>
    <s v="2023-002475"/>
    <x v="96"/>
    <d v="2023-06-30T00:00:00"/>
    <d v="2028-06-29T00:00:00"/>
    <s v="Contract"/>
    <s v="FINCA DOS HERMANAS LLC"/>
    <s v="UTUADO"/>
    <s v="Manufactura de pan, crutones, flan, tortilla española y escabeche de pana"/>
    <x v="10"/>
    <n v="65268"/>
    <n v="0"/>
    <n v="6015.3"/>
    <n v="59252.7"/>
    <n v="1.04"/>
  </r>
  <r>
    <s v="FIE60-2022-2023-0236"/>
    <s v="2023-002478"/>
    <x v="96"/>
    <d v="2023-06-30T00:00:00"/>
    <d v="2026-06-29T00:00:00"/>
    <s v="Contract"/>
    <s v="PUERTO PAN INC."/>
    <s v="SAN JUAN"/>
    <s v="Manufactura de panaes semi artesanales y sus variedades"/>
    <x v="8"/>
    <n v="3000"/>
    <n v="0"/>
    <n v="0"/>
    <n v="3000"/>
    <n v="1.24"/>
  </r>
  <r>
    <s v="FIE60-2022-2023-0238"/>
    <s v="2023-002476"/>
    <x v="96"/>
    <d v="2023-06-30T00:00:00"/>
    <d v="2026-06-29T00:00:00"/>
    <s v="Contract"/>
    <s v="MONTADERO INC."/>
    <s v="CAGUAS"/>
    <s v="Manufactura de barras, bombones y otros productos de chocolate"/>
    <x v="8"/>
    <n v="7500"/>
    <n v="0"/>
    <n v="0"/>
    <n v="7500"/>
    <n v="2.5099999999999998"/>
  </r>
  <r>
    <s v="FIE60-2022-2023-0061"/>
    <s v="2023-002189-A"/>
    <x v="55"/>
    <d v="2023-06-30T00:00:00"/>
    <d v="2023-12-31T00:00:00"/>
    <s v="Contract"/>
    <s v="MUNICIPIO DE VEGA BAJA"/>
    <s v="VEGA BAJA"/>
    <s v="Programa de comercio y exportación-incentivo de rehabilitación de los cascos urbanos"/>
    <x v="12"/>
    <n v="10000"/>
    <n v="0"/>
    <n v="0"/>
    <n v="10000"/>
    <s v="Acuerdo colaborativo"/>
  </r>
  <r>
    <s v="FIE60-2022-2023-0032"/>
    <s v="2023-002340-A"/>
    <x v="55"/>
    <d v="2023-06-30T00:00:00"/>
    <d v="2023-12-31T00:00:00"/>
    <s v="Contract"/>
    <s v="PUBLICIDAD TERE SUAREZ LLC"/>
    <s v="SAN JUAN"/>
    <s v="Celebración del mes de la juventud"/>
    <x v="16"/>
    <n v="185000"/>
    <n v="0"/>
    <n v="183152.95"/>
    <n v="1847.0499999999884"/>
    <s v="Programa de apoyo a empresarios minoritarios"/>
  </r>
  <r>
    <s v="FIE60-2022-2023-0032"/>
    <s v="2023-002436"/>
    <x v="55"/>
    <d v="2023-06-30T00:00:00"/>
    <d v="2023-06-30T00:00:00"/>
    <s v="Contract"/>
    <s v="MUNICIPIO DE OROCOVIS"/>
    <s v="OROCOVIS"/>
    <s v="Escuela empresarial"/>
    <x v="16"/>
    <n v="15000"/>
    <n v="0"/>
    <n v="0"/>
    <n v="15000"/>
    <s v="Programa de apoyo a empresarios minoritarios"/>
  </r>
  <r>
    <s v="FIE60-2022-2023-0036"/>
    <s v="2023-002494"/>
    <x v="55"/>
    <d v="2023-06-30T00:00:00"/>
    <d v="2026-06-29T00:00:00"/>
    <s v="Contract"/>
    <s v="SIMMPLE MACHINES, LLC"/>
    <s v="CAGUAS"/>
    <s v="Investigación y desarrollo de máquinas fresadoras, mejor conocidas como la tecnología cnc (control numérico computarizado). Reingeniería de los modelos de fresadores existentes."/>
    <x v="17"/>
    <n v="160000"/>
    <n v="0"/>
    <n v="80000"/>
    <n v="80000"/>
    <s v="Programa de apoyo a empresarios minoritarios"/>
  </r>
  <r>
    <s v="FIE60-2022-2023-0035"/>
    <s v="2023-002432"/>
    <x v="55"/>
    <d v="2023-06-30T00:00:00"/>
    <d v="2025-08-31T00:00:00"/>
    <s v="Contract"/>
    <s v="GABRIEL CAMARENO SOTO"/>
    <s v="TRUJILLO ALTO"/>
    <s v="Beca Teodoro Moscoso Mora"/>
    <x v="16"/>
    <n v="20000"/>
    <n v="0"/>
    <n v="15000"/>
    <n v="5000"/>
    <s v="Programa de apoyo a empresarios minoritarios"/>
  </r>
  <r>
    <s v="FIE60-2022-2023-0050"/>
    <s v="2023-002441"/>
    <x v="55"/>
    <d v="2023-06-30T00:00:00"/>
    <d v="2025-06-29T00:00:00"/>
    <s v="Contract"/>
    <s v="HEIDI L. IRIZARRY ECHEVARRIA"/>
    <s v="ADJUNTAS"/>
    <s v="Bebidas y alimentos"/>
    <x v="24"/>
    <n v="50000"/>
    <n v="0"/>
    <n v="21133.53"/>
    <n v="28866.47"/>
    <s v="Programa de apoyo a empresarios minoritarios"/>
  </r>
  <r>
    <s v="FIE60-2022-2023-0050"/>
    <s v="2023-002444"/>
    <x v="55"/>
    <d v="2023-06-30T00:00:00"/>
    <d v="2025-06-29T00:00:00"/>
    <s v="Contract"/>
    <s v="XAVI CORP."/>
    <s v="SAN JUAN"/>
    <s v="Bebidas y alimentos"/>
    <x v="24"/>
    <n v="50000"/>
    <n v="0"/>
    <n v="0"/>
    <n v="50000"/>
    <s v="Programa de apoyo a empresarios minoritarios"/>
  </r>
  <r>
    <s v="FIE60-2022-2023-0050"/>
    <s v="2023-002445"/>
    <x v="55"/>
    <d v="2023-06-30T00:00:00"/>
    <d v="2025-06-29T00:00:00"/>
    <s v="Contract"/>
    <s v="FERRETERIA CASA GRANDE, INC."/>
    <s v="AGUADA"/>
    <s v="Ferretería"/>
    <x v="24"/>
    <n v="50000"/>
    <n v="0"/>
    <n v="0"/>
    <n v="50000"/>
    <s v="Programa de apoyo a empresarios minoritarios"/>
  </r>
  <r>
    <s v="FIE60-2022-2023-0050"/>
    <s v="2023-002446"/>
    <x v="55"/>
    <d v="2023-06-30T00:00:00"/>
    <d v="2025-06-29T00:00:00"/>
    <s v="Contract"/>
    <s v="ACTA LLC / YI RESTAURANT"/>
    <s v="SAN GERMAN"/>
    <s v="Bebidas y alimentos"/>
    <x v="24"/>
    <n v="50000"/>
    <n v="0"/>
    <n v="47795"/>
    <n v="2205"/>
    <s v="Programa de apoyo a empresarios minoritarios"/>
  </r>
  <r>
    <s v="FIE60-2022-2023-0050"/>
    <s v="2023-002447"/>
    <x v="55"/>
    <d v="2023-06-30T00:00:00"/>
    <d v="2025-06-29T00:00:00"/>
    <s v="Contract"/>
    <s v="SIN STRESS BAR AND FOOD CORP."/>
    <s v="AGUADA"/>
    <s v="Bebidas y alimentos"/>
    <x v="24"/>
    <n v="50000"/>
    <n v="0"/>
    <n v="4145"/>
    <n v="45855"/>
    <s v="Programa de apoyo a empresarios minoritarios"/>
  </r>
  <r>
    <s v="FIE60-2022-2023-0050"/>
    <s v="2023-002448"/>
    <x v="55"/>
    <d v="2023-06-30T00:00:00"/>
    <d v="2025-06-29T00:00:00"/>
    <s v="Contract"/>
    <s v="E AND D HERBS MEDICINE NATURAL PRODUCTS"/>
    <s v="MOCA"/>
    <s v="Manufactura"/>
    <x v="24"/>
    <n v="50000"/>
    <n v="0"/>
    <n v="42794.46"/>
    <n v="7205.5400000000009"/>
    <s v="Programa de apoyo a empresarios minoritarios"/>
  </r>
  <r>
    <s v="FIE60-2022-2023-0050"/>
    <s v="2023-002451"/>
    <x v="55"/>
    <d v="2023-06-30T00:00:00"/>
    <d v="2025-06-29T00:00:00"/>
    <s v="Contract"/>
    <s v="SWEET HOME PR, LLC"/>
    <s v="LAS PIEDRAS"/>
    <s v="Bebidas y alimentos"/>
    <x v="24"/>
    <n v="50000"/>
    <n v="0"/>
    <n v="46898.979999999996"/>
    <n v="3101.0200000000041"/>
    <s v="Programa de apoyo a empresarios minoritarios"/>
  </r>
  <r>
    <s v="FIE60-2022-2023-0050"/>
    <s v="2023-002452"/>
    <x v="55"/>
    <d v="2023-06-30T00:00:00"/>
    <d v="2025-06-29T00:00:00"/>
    <s v="Contract"/>
    <s v="JOSE JOAQUIN GIRONA CORTES"/>
    <s v="SAN JUAN"/>
    <s v="Deporte hípico"/>
    <x v="24"/>
    <n v="50000"/>
    <n v="0"/>
    <n v="32925.880000000005"/>
    <n v="17074.119999999995"/>
    <s v="Programa de apoyo a empresarios minoritarios"/>
  </r>
  <r>
    <s v="FIE60-2022-2023-0050"/>
    <s v="2023-002454"/>
    <x v="55"/>
    <d v="2023-06-30T00:00:00"/>
    <d v="2025-06-29T00:00:00"/>
    <s v="Contract"/>
    <s v="EULOGIO NIEVES CRESPO"/>
    <s v="SAN SEBASTIAN"/>
    <s v="Venta al detal"/>
    <x v="24"/>
    <n v="50000"/>
    <n v="0"/>
    <n v="0"/>
    <n v="50000"/>
    <s v="Programa de apoyo a empresarios minoritarios"/>
  </r>
  <r>
    <s v="FIE60-2022-2023-0035"/>
    <s v="2023-002455"/>
    <x v="55"/>
    <d v="2023-06-30T00:00:00"/>
    <d v="2027-05-31T00:00:00"/>
    <s v="Contract"/>
    <s v="ALEXANDRA MARTINEZ GARCIA"/>
    <s v="CAROLINA"/>
    <s v="Beca Teodoro Moscoso Mora"/>
    <x v="16"/>
    <n v="40000"/>
    <n v="0"/>
    <n v="15000"/>
    <n v="25000"/>
    <s v="Programa de apoyo a empresarios minoritarios"/>
  </r>
  <r>
    <s v="FIE60-2022-2023-0035"/>
    <s v="2023-002456"/>
    <x v="55"/>
    <d v="2023-06-30T00:00:00"/>
    <d v="2027-05-31T00:00:00"/>
    <s v="Contract"/>
    <s v="AMANDA L. JONES RODRIGUEZ"/>
    <s v="LOIZA"/>
    <s v="Beca Teodoro Moscoso Mora"/>
    <x v="16"/>
    <n v="40000"/>
    <n v="0"/>
    <n v="20000"/>
    <n v="20000"/>
    <s v="Programa de apoyo a empresarios minoritarios"/>
  </r>
  <r>
    <s v="FIE60-2022-2023-0035"/>
    <s v="2023-002457"/>
    <x v="55"/>
    <d v="2023-06-30T00:00:00"/>
    <d v="2027-12-31T00:00:00"/>
    <s v="Contract"/>
    <s v="LUZ MARIA DE DIOS RODRIGUEZ"/>
    <s v="SAN JUAN"/>
    <s v="Beca Teodoro Moscoso Mora"/>
    <x v="16"/>
    <n v="40000"/>
    <n v="0"/>
    <n v="10000"/>
    <n v="30000"/>
    <s v="Programa de apoyo a empresarios minoritarios"/>
  </r>
  <r>
    <s v="FIE60-2022-2023-0035"/>
    <s v="2023-002458"/>
    <x v="55"/>
    <d v="2023-06-30T00:00:00"/>
    <d v="2025-05-31T00:00:00"/>
    <s v="Contract"/>
    <s v="ANDREA ANGELY MARTINEZ ALVAREZ"/>
    <s v="CAROLINA"/>
    <s v="Beca Teodoro Moscoso Mora"/>
    <x v="16"/>
    <n v="20000"/>
    <n v="0"/>
    <n v="10000"/>
    <n v="10000"/>
    <s v="Programa de apoyo a empresarios minoritarios"/>
  </r>
  <r>
    <s v="FIE60-2022-2023-0035"/>
    <s v="2023-002460"/>
    <x v="55"/>
    <d v="2023-06-30T00:00:00"/>
    <d v="2027-05-31T00:00:00"/>
    <s v="Contract"/>
    <s v="ANDREA M. AMADOR OTERO"/>
    <s v="VEGA BAJA"/>
    <s v="Beca Teodoro Moscoso Mora"/>
    <x v="16"/>
    <n v="40000"/>
    <n v="0"/>
    <n v="15000"/>
    <n v="25000"/>
    <s v="Programa de apoyo a empresarios minoritarios"/>
  </r>
  <r>
    <s v="FIE60-2022-2023-0035"/>
    <s v="2023-002461"/>
    <x v="55"/>
    <d v="2023-06-30T00:00:00"/>
    <d v="2026-05-31T00:00:00"/>
    <s v="Contract"/>
    <s v="VERONICA RODRIGUEZ GONZALEZ"/>
    <s v="CANOVANAS"/>
    <s v="Beca Teodoro Moscoso Mora"/>
    <x v="16"/>
    <n v="30000"/>
    <n v="0"/>
    <n v="20000"/>
    <n v="10000"/>
    <s v="Programa de apoyo a empresarios minoritarios"/>
  </r>
  <r>
    <s v="FIE60-2022-2023-0035"/>
    <s v="2023-002462"/>
    <x v="55"/>
    <d v="2023-06-30T00:00:00"/>
    <d v="2027-05-31T00:00:00"/>
    <s v="Contract"/>
    <s v="RUBEN GABRIEL PEREZ AQUINO"/>
    <s v="LARES"/>
    <s v="Beca Teodoro Moscoso Mora"/>
    <x v="16"/>
    <n v="40000"/>
    <n v="0"/>
    <n v="20000"/>
    <n v="20000"/>
    <s v="Programa de apoyo a empresarios minoritarios"/>
  </r>
  <r>
    <s v="FIE60-2022-2023-0035"/>
    <s v="2023-002463"/>
    <x v="55"/>
    <d v="2023-06-30T00:00:00"/>
    <d v="2026-05-31T00:00:00"/>
    <s v="Contract"/>
    <s v="EMANOEL FRANCISCO FIGUEROA DIAZ"/>
    <s v="HUMACAO"/>
    <s v="Beca Teodoro Moscoso Mora"/>
    <x v="16"/>
    <n v="30000"/>
    <n v="0"/>
    <n v="20000"/>
    <n v="10000"/>
    <s v="Programa de apoyo a empresarios minoritarios"/>
  </r>
  <r>
    <s v="FIE60-2022-2023-0035"/>
    <s v="2023-002465"/>
    <x v="55"/>
    <d v="2023-06-30T00:00:00"/>
    <d v="2027-01-31T00:00:00"/>
    <s v="Contract"/>
    <s v="KILEISHA GABRIELA ALICEA RIOS"/>
    <s v="LARES"/>
    <s v="Beca Teodoro Moscoso Mora"/>
    <x v="16"/>
    <n v="40000"/>
    <n v="0"/>
    <n v="10000"/>
    <n v="30000"/>
    <s v="Programa de apoyo a empresarios minoritarios"/>
  </r>
  <r>
    <s v="FIE60-2022-2023-0035"/>
    <s v="2023-002467"/>
    <x v="55"/>
    <d v="2023-06-30T00:00:00"/>
    <d v="2026-01-31T00:00:00"/>
    <s v="Contract"/>
    <s v="LISDALIANYS LANZOT HERRERA"/>
    <s v="RIO GRANDE"/>
    <s v="Beca Teodoro Moscoso Mora"/>
    <x v="16"/>
    <n v="30000"/>
    <n v="0"/>
    <n v="15000"/>
    <n v="15000"/>
    <s v="Programa de apoyo a empresarios minoritarios"/>
  </r>
  <r>
    <s v="FIE60-2022-2023-0035"/>
    <s v="2023-002468"/>
    <x v="55"/>
    <d v="2023-06-30T00:00:00"/>
    <d v="2027-01-31T00:00:00"/>
    <s v="Contract"/>
    <s v="ARACELIS TORRES RIVERA"/>
    <s v="CAGUAS"/>
    <s v="Beca Teodoro Moscoso Mora"/>
    <x v="16"/>
    <n v="40000"/>
    <n v="0"/>
    <n v="20000"/>
    <n v="20000"/>
    <s v="Programa de apoyo a empresarios minoritarios"/>
  </r>
  <r>
    <s v="FIE60-2022-2023-0035"/>
    <s v="2023-002469"/>
    <x v="55"/>
    <d v="2023-06-30T00:00:00"/>
    <d v="2027-05-31T00:00:00"/>
    <s v="Contract"/>
    <s v="ALEXANDER PACHECO CAMACHO"/>
    <s v="BAYAMÓN"/>
    <s v="Beca Teodoro Moscoso Mora"/>
    <x v="16"/>
    <n v="40000"/>
    <n v="0"/>
    <n v="20000"/>
    <n v="20000"/>
    <s v="Programa de apoyo a empresarios minoritarios"/>
  </r>
  <r>
    <s v="FIE60-2022-2023-0035"/>
    <s v="2023-002470"/>
    <x v="55"/>
    <d v="2023-06-30T00:00:00"/>
    <d v="2027-01-31T00:00:00"/>
    <s v="Contract"/>
    <s v="CORALYS IVETTE CUEVAS HORNEDO"/>
    <s v="GUAYNABO"/>
    <s v="Beca Teodoro Moscoso Mora"/>
    <x v="16"/>
    <n v="40000"/>
    <n v="0"/>
    <n v="20000"/>
    <n v="20000"/>
    <s v="Programa de apoyo a empresarios minoritarios"/>
  </r>
  <r>
    <s v="FIE60-2022-2023-0037"/>
    <s v="2023-002471"/>
    <x v="55"/>
    <d v="2023-06-30T00:00:00"/>
    <d v="2024-12-29T00:00:00"/>
    <s v="Contract"/>
    <s v="MAREY HEATER CORPORATION"/>
    <s v="SAN JUAN"/>
    <s v="Calentadores para duchas y de linea "/>
    <x v="13"/>
    <n v="25000"/>
    <n v="0"/>
    <n v="20330.03"/>
    <n v="4669.9700000000012"/>
    <s v="Programa de apoyo a empresarios minoritarios"/>
  </r>
  <r>
    <s v="FIE60-2022-2023-0035"/>
    <s v="2023-002472"/>
    <x v="55"/>
    <d v="2023-06-30T00:00:00"/>
    <d v="2025-01-31T00:00:00"/>
    <s v="Contract"/>
    <s v="MEREDITH ORTIZ RIVERA"/>
    <s v="MOROVIS"/>
    <s v="Beca Teodoro Moscoso Mora"/>
    <x v="16"/>
    <n v="20000"/>
    <n v="0"/>
    <n v="20000"/>
    <n v="0"/>
    <s v="Programa de apoyo a empresarios minoritarios"/>
  </r>
  <r>
    <s v="FIE60-2022-2023-0037"/>
    <s v="2023-002481"/>
    <x v="55"/>
    <d v="2023-06-30T00:00:00"/>
    <d v="2024-12-29T00:00:00"/>
    <s v="Contract"/>
    <s v="DONA YIYA FOODS, INC."/>
    <s v="SAN SEBASTIAN"/>
    <s v="Sofrito y especies"/>
    <x v="13"/>
    <n v="50000"/>
    <n v="0"/>
    <n v="19934.12"/>
    <n v="30065.88"/>
    <n v="2.4500000000000002"/>
  </r>
  <r>
    <s v="FIE60-2022-2023-0037"/>
    <s v="2023-002482"/>
    <x v="55"/>
    <d v="2023-06-30T00:00:00"/>
    <d v="2024-12-29T00:00:00"/>
    <s v="Cancelled"/>
    <s v="ACE CONSTRUCTION SUPPLIES, INC."/>
    <s v="PATILLAS"/>
    <s v="Mallas ciclónicas y productos relacionados"/>
    <x v="13"/>
    <n v="50000"/>
    <n v="50000"/>
    <n v="0"/>
    <n v="0"/>
    <s v="Programa de apoyo a empresarios minoritarios.  Finanzas solicita cancelar balance al 6-12-2025"/>
  </r>
  <r>
    <s v="FIE60-2022-2023-0037"/>
    <s v="2023-002483-A"/>
    <x v="55"/>
    <d v="2023-06-30T00:00:00"/>
    <d v="2024-12-29T00:00:00"/>
    <s v="Contract"/>
    <s v="CORTES HERMANOS, LLC"/>
    <s v="SAN JUAN"/>
    <s v="Chocolate en barra"/>
    <x v="13"/>
    <n v="25000"/>
    <n v="0"/>
    <n v="24701.059999999998"/>
    <n v="298.94000000000233"/>
    <s v="Programa de apoyo a empresarios minoritarios"/>
  </r>
  <r>
    <s v="FIE60-2022-2023-0035"/>
    <s v="2023-002490"/>
    <x v="55"/>
    <d v="2023-06-30T00:00:00"/>
    <d v="2025-05-31T00:00:00"/>
    <s v="Contract"/>
    <s v="SARAH MICHELLE BETANCOURT GONZALEZ"/>
    <s v="CAROLINA"/>
    <s v="Beca Teodoro Moscoso Mora"/>
    <x v="16"/>
    <n v="20000"/>
    <n v="0"/>
    <n v="20000"/>
    <n v="0"/>
    <s v="Programa de apoyo a empresarios minoritarios"/>
  </r>
  <r>
    <s v="FIE60-2022-2023-0035"/>
    <s v="2023-002491"/>
    <x v="55"/>
    <d v="2023-06-30T00:00:00"/>
    <d v="2026-05-21T00:00:00"/>
    <s v="Contract"/>
    <s v="BENJAMIN ANDRES GONZALEZ VALENTIN"/>
    <s v="VEGA BAJA"/>
    <s v="Beca Teodoro Moscoso Mora"/>
    <x v="16"/>
    <n v="30000"/>
    <n v="0"/>
    <n v="15000"/>
    <n v="15000"/>
    <s v="Programa de apoyo a empresarios minoritarios"/>
  </r>
  <r>
    <s v="FIE60-2022-2023-0035"/>
    <s v="2023-002492"/>
    <x v="55"/>
    <d v="2023-06-30T00:00:00"/>
    <d v="2027-05-31T00:00:00"/>
    <s v="Contract"/>
    <s v="CARLOS JAVIER PEPIN DELGADO"/>
    <s v="SAN JUAN"/>
    <s v="Beca Teodoro Moscoso Mora"/>
    <x v="16"/>
    <n v="40000"/>
    <n v="0"/>
    <n v="20000"/>
    <n v="20000"/>
    <s v="Programa de apoyo a empresarios minoritarios"/>
  </r>
  <r>
    <s v="FIE60-2022-2023-0035"/>
    <s v="2023-002493"/>
    <x v="55"/>
    <d v="2023-06-30T00:00:00"/>
    <d v="2026-12-31T00:00:00"/>
    <s v="Contract"/>
    <s v="JOEL VAN DAALEN MORALES"/>
    <s v="PONCE"/>
    <s v="Beca Teodoro Moscoso Mora"/>
    <x v="16"/>
    <n v="25000"/>
    <n v="0"/>
    <n v="15000"/>
    <n v="10000"/>
    <s v="Programa de apoyo a empresarios minoritarios"/>
  </r>
  <r>
    <s v="FIE60-2022-2023-0035"/>
    <s v="2023-002495"/>
    <x v="55"/>
    <d v="2023-06-30T00:00:00"/>
    <d v="2027-05-31T00:00:00"/>
    <s v="Contract"/>
    <s v="ADDYTH GISSELLE MIRANDA VALLE"/>
    <m/>
    <s v="Beca Teodoro Moscoso Mora"/>
    <x v="16"/>
    <n v="40000"/>
    <n v="0"/>
    <n v="20000"/>
    <n v="20000"/>
    <s v="Programa de apoyo a empresarios minoritarios"/>
  </r>
  <r>
    <s v="FIE60-2022-2023-0035"/>
    <s v="2023-002496"/>
    <x v="55"/>
    <d v="2023-06-30T00:00:00"/>
    <d v="2026-05-31T00:00:00"/>
    <s v="Contract"/>
    <s v="ROBERTO M. VAQUERO ORELLANO"/>
    <s v="YABUCOA"/>
    <s v="Beca Teodoro Moscoso Mora"/>
    <x v="16"/>
    <n v="30000"/>
    <n v="0"/>
    <n v="20000"/>
    <n v="10000"/>
    <s v="Programa de apoyo a empresarios minoritarios"/>
  </r>
  <r>
    <s v="FIE60-2022-2023-0028"/>
    <s v="2024-000032"/>
    <x v="55"/>
    <d v="2023-07-10T00:00:00"/>
    <d v="2023-07-16T00:00:00"/>
    <s v="Contract"/>
    <s v="MUNICIPIO DE BARRANQUITAS"/>
    <s v="BARRANQUITAS"/>
    <s v="Julio, mes del artesano 2023"/>
    <x v="15"/>
    <n v="3000"/>
    <n v="0"/>
    <n v="2103.5500000000002"/>
    <n v="896.44999999999982"/>
    <s v="Programa de apoyo a empresarios minoritarios"/>
  </r>
  <r>
    <s v="FIE60-2023-2024-0016"/>
    <s v="2024-000033"/>
    <x v="83"/>
    <d v="2023-07-11T00:00:00"/>
    <d v="2028-07-10T00:00:00"/>
    <s v="Contract"/>
    <s v="SYRVIATEK CORP"/>
    <s v="CAROLINA"/>
    <s v="Drogas y preparación farmacéutica"/>
    <x v="8"/>
    <n v="200000"/>
    <n v="0"/>
    <n v="0"/>
    <n v="200000"/>
    <n v="1.9"/>
  </r>
  <r>
    <s v="FIE60-2023-2024-0017"/>
    <s v="2024-000034"/>
    <x v="83"/>
    <d v="2023-07-11T00:00:00"/>
    <d v="2028-07-10T00:00:00"/>
    <s v="Contract"/>
    <s v="SYRVIATEK CORP"/>
    <s v="CAROLINA"/>
    <s v="Drogas y preparación farmacéutica"/>
    <x v="10"/>
    <n v="1760000"/>
    <n v="0"/>
    <n v="0"/>
    <n v="1760000"/>
    <n v="1.9"/>
  </r>
  <r>
    <s v="FIE60-2022-2023-0056"/>
    <s v="2024-000043"/>
    <x v="97"/>
    <d v="2023-07-14T00:00:00"/>
    <d v="2028-07-13T00:00:00"/>
    <s v="Contract"/>
    <s v="BETHEL YUUT LLC."/>
    <s v="MAYAGÜEZ"/>
    <s v="Costura de ropa militar y productos relacionados para el departamento de la defensa"/>
    <x v="8"/>
    <n v="600000"/>
    <n v="0"/>
    <n v="0"/>
    <n v="600000"/>
    <n v="1"/>
  </r>
  <r>
    <s v="FIE60-2022-2023-0057"/>
    <s v="2024-000044"/>
    <x v="97"/>
    <d v="2023-07-14T00:00:00"/>
    <d v="2028-07-13T00:00:00"/>
    <s v="Contract"/>
    <s v="BETHEL YUUT LLC."/>
    <s v="MAYAGÜEZ"/>
    <s v="Costura de ropa militar y productos relacionados para el departamento de la defensa"/>
    <x v="10"/>
    <n v="1040000"/>
    <n v="0"/>
    <n v="0"/>
    <n v="1040000"/>
    <n v="1"/>
  </r>
  <r>
    <s v="FIE60-2022-2023-0070"/>
    <s v="2024-000045"/>
    <x v="84"/>
    <d v="2023-07-14T00:00:00"/>
    <d v="2028-07-13T00:00:00"/>
    <s v="Contract"/>
    <s v="HACIENDA MONTE ALTO MGT LLC. "/>
    <s v="ADJUNTAS"/>
    <s v="Productos desechables, tales como vasos y platos, entre otros, sin limitarse a los mismos"/>
    <x v="8"/>
    <n v="18000"/>
    <n v="0"/>
    <n v="0"/>
    <n v="18000"/>
    <n v="3.66"/>
  </r>
  <r>
    <s v="FIE60-2023-2024-0004"/>
    <s v="2024-000040"/>
    <x v="83"/>
    <d v="2023-07-14T00:00:00"/>
    <d v="2028-07-13T00:00:00"/>
    <s v="Contract"/>
    <s v="PATHEON PUERTO RICO, INC"/>
    <s v="MANATI"/>
    <s v="Productos farmaceuticos"/>
    <x v="8"/>
    <n v="390000"/>
    <n v="0"/>
    <n v="0"/>
    <n v="390000"/>
    <n v="4.4800000000000004"/>
  </r>
  <r>
    <s v="FIE60-2023-2024-0005"/>
    <s v="2024-000041"/>
    <x v="83"/>
    <d v="2023-07-14T00:00:00"/>
    <d v="2028-07-13T00:00:00"/>
    <s v="Contract"/>
    <s v="PATHEON PUERTO RICO, INC"/>
    <s v="MANATI"/>
    <s v="Productos farmaceuticos"/>
    <x v="10"/>
    <n v="1300000"/>
    <n v="0"/>
    <n v="0"/>
    <n v="1300000"/>
    <n v="4.4800000000000004"/>
  </r>
  <r>
    <s v="FIE60-2023-2024-0006"/>
    <s v="2024-000042"/>
    <x v="83"/>
    <d v="2023-07-14T00:00:00"/>
    <d v="2028-07-13T00:00:00"/>
    <s v="Contract"/>
    <s v="PATHEON PUERTO RICO, INC"/>
    <s v="MANATI"/>
    <s v="Productos farmaceuticos"/>
    <x v="27"/>
    <n v="200000"/>
    <n v="0"/>
    <n v="0"/>
    <n v="200000"/>
    <n v="4.4800000000000004"/>
  </r>
  <r>
    <s v="FIE60-2023-2024-0007"/>
    <s v="2024-000049"/>
    <x v="94"/>
    <d v="2023-07-14T00:00:00"/>
    <d v="2026-07-13T00:00:00"/>
    <s v="Contract"/>
    <s v="PATHEON PUERTO RICO, INC"/>
    <s v="MANATI"/>
    <s v="Productos farmaceuticos"/>
    <x v="8"/>
    <n v="30000"/>
    <n v="0"/>
    <n v="0"/>
    <n v="30000"/>
    <n v="-39.74"/>
  </r>
  <r>
    <s v="FIE60-2023-2024-0008"/>
    <s v="2024-000050"/>
    <x v="94"/>
    <d v="2023-07-14T00:00:00"/>
    <d v="2026-07-13T00:00:00"/>
    <s v="Contract"/>
    <s v="PATHEON PUERTO RICO, INC"/>
    <s v="MANATI"/>
    <s v="Productos farmaceuticos"/>
    <x v="10"/>
    <n v="128000"/>
    <n v="0"/>
    <n v="0"/>
    <n v="128000"/>
    <n v="-39.74"/>
  </r>
  <r>
    <s v="FIE60-2023-2024-0009"/>
    <s v="2024-000051"/>
    <x v="94"/>
    <d v="2023-07-14T00:00:00"/>
    <d v="2026-07-13T00:00:00"/>
    <s v="Contract"/>
    <s v="PATHEON PUERTO RICO, INC"/>
    <s v="MANATI"/>
    <s v="Productos farmaceuticos"/>
    <x v="27"/>
    <n v="1600000"/>
    <n v="0"/>
    <n v="0"/>
    <n v="1600000"/>
    <n v="-39.74"/>
  </r>
  <r>
    <s v="FIE60-2022-2023-0071"/>
    <s v="2024-000046"/>
    <x v="84"/>
    <d v="2023-07-14T00:00:00"/>
    <d v="2028-07-13T00:00:00"/>
    <s v="Contract"/>
    <s v="HACIENDA MONTE ALTO, INC."/>
    <s v="ADJUNTAS"/>
    <s v="Productos desechables, tales como vasos y platos, entre otros, sin limitarse a los mismos"/>
    <x v="10"/>
    <n v="102500"/>
    <n v="0"/>
    <n v="37884.5"/>
    <n v="64615.5"/>
    <n v="3.66"/>
  </r>
  <r>
    <s v="FIE60-2022-2023-0035"/>
    <s v="2024-000061"/>
    <x v="55"/>
    <d v="2023-07-16T00:00:00"/>
    <d v="2025-12-31T00:00:00"/>
    <s v="Contract"/>
    <s v="DAILEEN A. RODRIGUEZ MORALES"/>
    <s v="HATILLO"/>
    <s v="Beca Teodoro Moscoso Mora"/>
    <x v="16"/>
    <n v="15000"/>
    <n v="0"/>
    <n v="10000"/>
    <n v="5000"/>
    <s v="Programa de apoyo a empresarios minoritarios"/>
  </r>
  <r>
    <s v="FIE60-2023-2024-0032"/>
    <s v="2024-000069"/>
    <x v="94"/>
    <d v="2023-08-01T00:00:00"/>
    <d v="2026-07-31T00:00:00"/>
    <s v="Cancelled"/>
    <s v="PAN PEPIN, INC"/>
    <s v="BAYAMON"/>
    <s v="Elaboracion de pan"/>
    <x v="8"/>
    <n v="375000"/>
    <n v="375000"/>
    <n v="0"/>
    <n v="0"/>
    <s v="186%.  Finanzas solicita se cancele balance, ya que la empresa no cumple con la base.  4-21-2025"/>
  </r>
  <r>
    <s v="FIE60-2023-2024-0033"/>
    <s v="2024-000070"/>
    <x v="94"/>
    <d v="2023-08-01T00:00:00"/>
    <d v="2028-07-31T00:00:00"/>
    <s v="Contract"/>
    <s v="PAN PEPIN, INC"/>
    <s v="BAYAMON"/>
    <s v="Elaboracion de pan"/>
    <x v="10"/>
    <n v="1096000"/>
    <n v="0"/>
    <n v="730666.66"/>
    <n v="365333.33999999997"/>
    <n v="1.86"/>
  </r>
  <r>
    <s v="FIE60-2023-2024-0030"/>
    <s v="2024-000065"/>
    <x v="94"/>
    <d v="2023-08-01T00:00:00"/>
    <d v="2028-07-31T00:00:00"/>
    <s v="Contract"/>
    <s v="DONA YIYA FOODS, INC."/>
    <s v="SAN SEBASTIAN"/>
    <s v="Sofrito y especies"/>
    <x v="8"/>
    <n v="4800"/>
    <n v="0"/>
    <n v="0"/>
    <n v="4800"/>
    <n v="2.4500000000000002"/>
  </r>
  <r>
    <s v="FIE60-2023-2024-0031"/>
    <s v="2024-000066"/>
    <x v="94"/>
    <d v="2023-08-01T00:00:00"/>
    <d v="2028-07-31T00:00:00"/>
    <s v="Contract"/>
    <s v="DONA YIYA FOODS, INC."/>
    <s v="SAN SEBASTIAN"/>
    <s v="Sofrito y especies"/>
    <x v="10"/>
    <n v="84000"/>
    <n v="0"/>
    <n v="0"/>
    <n v="84000"/>
    <n v="2.4500000000000002"/>
  </r>
  <r>
    <s v="FIE60-2023-2024-0024"/>
    <s v="2024-000068"/>
    <x v="94"/>
    <d v="2023-08-01T00:00:00"/>
    <d v="2026-07-31T00:00:00"/>
    <s v="Contract"/>
    <s v="PROFESSIONAL GRAPHICS, INC."/>
    <s v="CAROLINA"/>
    <s v="Producción de impresos"/>
    <x v="8"/>
    <n v="5000"/>
    <n v="0"/>
    <n v="2000"/>
    <n v="3000"/>
    <n v="1.1299999999999999"/>
  </r>
  <r>
    <s v="FIE60-2023-2024-0028"/>
    <s v="2024-000075"/>
    <x v="41"/>
    <d v="2023-08-03T00:00:00"/>
    <d v="2028-08-02T00:00:00"/>
    <s v="Contract"/>
    <s v="CUSTOM METAL WORKS LLC"/>
    <s v="HUMACAO"/>
    <s v="Manufactura de piezas customizadas en difrentes metales"/>
    <x v="8"/>
    <n v="1500"/>
    <n v="0"/>
    <n v="0"/>
    <n v="1500"/>
    <n v="4.6399999999999997"/>
  </r>
  <r>
    <s v="FIE60-2023-2024-0029"/>
    <s v="2024-000076"/>
    <x v="41"/>
    <d v="2023-08-03T00:00:00"/>
    <d v="2028-08-02T00:00:00"/>
    <s v="Contract"/>
    <s v="CUSTOM METAL WORKS LLC"/>
    <s v="HUMACAO"/>
    <s v="Manufactura de piezas customizadas en difrentes metales"/>
    <x v="10"/>
    <n v="7300"/>
    <n v="0"/>
    <n v="0"/>
    <n v="7300"/>
    <n v="4.6399999999999997"/>
  </r>
  <r>
    <s v="FIE60-2023-2024-0020"/>
    <s v="2024-000073"/>
    <x v="96"/>
    <d v="2023-08-03T00:00:00"/>
    <d v="2027-12-31T00:00:00"/>
    <s v="Contract"/>
    <s v="PRODUCTOS LA FINCA INC."/>
    <s v="SABANA GRANDE"/>
    <s v="Cereales para el desayuno, arroz con dulce, rosetas de maiz, adobo, cebolla en polvo y otros"/>
    <x v="8"/>
    <n v="22500"/>
    <n v="0"/>
    <n v="0"/>
    <n v="22500"/>
    <n v="12.02"/>
  </r>
  <r>
    <s v="FIE60-2023-2024-0021"/>
    <s v="2024-000074-B"/>
    <x v="98"/>
    <d v="2024-01-01T00:00:00"/>
    <d v="2026-12-31T00:00:00"/>
    <s v="Contract"/>
    <s v="PRODUCTOS LA FINCA INC."/>
    <s v="SABANA GRANDE"/>
    <s v="Cereales para el desayuno, arroz con dulce, rosetas de maiz, adobo, cebolla en polvo y otros"/>
    <x v="10"/>
    <n v="154755"/>
    <n v="0"/>
    <n v="33482.370000000003"/>
    <n v="121272.63"/>
    <n v="12.02"/>
  </r>
  <r>
    <s v="FIE60-2023-2024-0022"/>
    <s v="2024-000105"/>
    <x v="96"/>
    <d v="2023-08-10T00:00:00"/>
    <d v="2026-08-09T00:00:00"/>
    <s v="Contract"/>
    <s v="PRODUCTOS PACHECO INC."/>
    <s v="BAYAMON"/>
    <s v="Chicharrones volaos, panes, bizcochos y otros productos"/>
    <x v="8"/>
    <n v="2250"/>
    <n v="0"/>
    <n v="0"/>
    <n v="2250"/>
    <n v="3.51"/>
  </r>
  <r>
    <s v="FIE60-2023-2024-0023"/>
    <s v="2024-000106"/>
    <x v="96"/>
    <d v="2023-08-10T00:00:00"/>
    <d v="2028-08-09T00:00:00"/>
    <s v="Contract"/>
    <s v="PRODUCTOS PACHECO INC."/>
    <s v="BAYAMON"/>
    <s v="Chicharrones volaos, panes, bizcochos y otros productos"/>
    <x v="10"/>
    <n v="22913"/>
    <n v="0"/>
    <n v="0"/>
    <n v="22913"/>
    <n v="3.51"/>
  </r>
  <r>
    <s v="FIE60-2023-2024-0057"/>
    <s v="2024-000103"/>
    <x v="83"/>
    <d v="2023-08-10T00:00:00"/>
    <d v="2028-08-09T00:00:00"/>
    <s v="Contract"/>
    <s v="ORTHO TAIN, INC."/>
    <s v="TOA ALTA"/>
    <s v="Productos dentales, retenedor de dientes"/>
    <x v="8"/>
    <n v="33000"/>
    <n v="0"/>
    <n v="0"/>
    <n v="33000"/>
    <n v="24.4"/>
  </r>
  <r>
    <s v="FIE60-2023-2024-0058"/>
    <s v="2024-000104"/>
    <x v="83"/>
    <d v="2023-08-10T00:00:00"/>
    <d v="2026-08-09T00:00:00"/>
    <s v="Contract"/>
    <s v="ORTHO TAIN, INC."/>
    <s v="TOA ALTA"/>
    <s v="Productos dentales, retenedor de dientes"/>
    <x v="10"/>
    <n v="1172000"/>
    <n v="0"/>
    <n v="414119.78"/>
    <n v="757880.22"/>
    <n v="24.4"/>
  </r>
  <r>
    <s v="FIE60-2023-2024-0041"/>
    <s v="2024-000128-A"/>
    <x v="99"/>
    <d v="2023-08-14T00:00:00"/>
    <d v="2024-06-30T00:00:00"/>
    <s v="Contract"/>
    <s v="UNIVERSIDAD INTERAMERICANA DE PUERTO RICO - SBTDC"/>
    <s v="SAN JUAN"/>
    <s v="Apoyo a las pymes"/>
    <x v="7"/>
    <n v="310000"/>
    <n v="0"/>
    <n v="301132.14999999997"/>
    <n v="8867.8500000000349"/>
    <s v="Programa de apoyo a empresarios minoritarios"/>
  </r>
  <r>
    <s v=" FIE60-2021-2022-0252"/>
    <s v="2023-001569-B"/>
    <x v="73"/>
    <d v="2023-08-22T00:00:00"/>
    <d v="2027-10-09T00:00:00"/>
    <s v="Contract"/>
    <s v="L.S. QUILTING, INC."/>
    <s v="TOA ALTA"/>
    <s v="Almohadas, colchas, telas acojinadas, cojines, sabanas, ropa de mujer y bebe "/>
    <x v="10"/>
    <n v="250000"/>
    <n v="0"/>
    <n v="250000"/>
    <n v="0"/>
    <n v="-6.57"/>
  </r>
  <r>
    <s v="FIE60-2021-2022-0253"/>
    <s v="2023-001568-A"/>
    <x v="73"/>
    <d v="2023-08-22T00:00:00"/>
    <d v="2025-10-09T00:00:00"/>
    <s v="Contract"/>
    <s v="L.S. QUILTING, INC."/>
    <s v="TOA ALTA"/>
    <s v="Almohadas, colchas, telas acojinadas, cojines, sabanas, ropa de mujer y bebe "/>
    <x v="8"/>
    <n v="11250"/>
    <n v="0"/>
    <n v="0"/>
    <n v="11250"/>
    <n v="-6.57"/>
  </r>
  <r>
    <s v="FIE60-2023-2024-0012"/>
    <s v="2024-000123"/>
    <x v="94"/>
    <d v="2023-08-22T00:00:00"/>
    <d v="2028-08-21T00:00:00"/>
    <s v="Contract"/>
    <s v="AIAC INTERNATIONAL PHARMA, LLC (AVARA PHARMACEUTICAL SERVICES) "/>
    <s v="ARECIBO"/>
    <s v="Manufactura de drogas y preparaciones farmacéuticas"/>
    <x v="8"/>
    <n v="75000"/>
    <n v="0"/>
    <n v="0"/>
    <n v="75000"/>
    <n v="20.09"/>
  </r>
  <r>
    <s v="FIE60-2023-2024-0013"/>
    <s v="2024-000124"/>
    <x v="94"/>
    <d v="2023-08-22T00:00:00"/>
    <d v="2028-08-21T00:00:00"/>
    <s v="Contract"/>
    <s v="AIAC INTERNATIONAL PHARMA, LLC (AVARA PHARMACEUTICAL SERVICES) "/>
    <s v="ARECIBO"/>
    <s v="Manufactura de drogas y preparaciones farmacéuticas"/>
    <x v="10"/>
    <n v="282000"/>
    <n v="0"/>
    <n v="0"/>
    <n v="282000"/>
    <n v="20.09"/>
  </r>
  <r>
    <s v="FIE60-2023-2024-0014"/>
    <s v="2024-000125"/>
    <x v="94"/>
    <d v="2023-08-22T00:00:00"/>
    <d v="2028-08-21T00:00:00"/>
    <s v="Cancelled"/>
    <s v="AIAC INTERNATIONAL PHARMA, LLC (AVARA PHARMACEUTICAL SERVICES) "/>
    <s v="ARECIBO"/>
    <s v="Manufactura de drogas y preparaciones farmacéuticas"/>
    <x v="27"/>
    <n v="1560000"/>
    <n v="1560000"/>
    <n v="0"/>
    <n v="0"/>
    <s v="2009%.  Finanzas canceló 6-9-2025 contrato venció."/>
  </r>
  <r>
    <s v="FIE60-2023-2024-0010"/>
    <s v="2024-000126"/>
    <x v="94"/>
    <d v="2023-08-22T00:00:00"/>
    <d v="2026-08-21T00:00:00"/>
    <s v="Contract"/>
    <s v="TOWER WINDOWS LLC"/>
    <s v="ARROYO"/>
    <s v="Manufactura de puertas, ventanas, accesorios y productos relacionados para uso residencial, comercial e industrial bajo los códigos de pr de la nueva construcción"/>
    <x v="8"/>
    <n v="75000"/>
    <n v="0"/>
    <n v="14000"/>
    <n v="61000"/>
    <n v="1.81"/>
  </r>
  <r>
    <s v="FIE60-2022-2023-0051"/>
    <s v="2023-000971-B"/>
    <x v="100"/>
    <d v="2023-08-24T00:00:00"/>
    <d v="2026-12-31T00:00:00"/>
    <s v="Contract"/>
    <s v="MOLECULAR SCIENCE RESEARCH CENTER, INC"/>
    <s v="SAN JUAN"/>
    <s v="Incubadora de negocios de empresas incipientes en biotecnología"/>
    <x v="12"/>
    <n v="3000000"/>
    <n v="0"/>
    <n v="2250000"/>
    <n v="750000"/>
    <s v="Apoyo empresarial"/>
  </r>
  <r>
    <s v="FIE60-2022-2023-0029"/>
    <s v="2024-000132"/>
    <x v="55"/>
    <d v="2023-08-25T00:00:00"/>
    <d v="2023-12-31T00:00:00"/>
    <s v="Contract"/>
    <s v="WILLIAMS CARMONA CRESPO"/>
    <s v="GUAYNABO"/>
    <s v="Participación en la xiv bienal de florencia, italia"/>
    <x v="28"/>
    <n v="10000"/>
    <n v="0"/>
    <n v="6351.47"/>
    <n v="3648.5299999999997"/>
    <s v="Auspicio"/>
  </r>
  <r>
    <s v="FIE60-2022-2023-0246"/>
    <s v="2024-000154"/>
    <x v="96"/>
    <d v="2023-08-31T00:00:00"/>
    <d v="2026-08-30T00:00:00"/>
    <s v="Contract"/>
    <s v="TECHNIPAK INTERNATIONAL CORPORATION "/>
    <s v="CATAÑO"/>
    <s v="Material de empaque para la industria de alimentos"/>
    <x v="8"/>
    <n v="3750"/>
    <n v="0"/>
    <n v="0"/>
    <n v="3750"/>
    <n v="1.1200000000000001"/>
  </r>
  <r>
    <s v="FIE60-2023-2024-0044"/>
    <s v="2024-000192"/>
    <x v="99"/>
    <d v="2023-08-31T00:00:00"/>
    <d v="2024-06-30T00:00:00"/>
    <s v="Contract"/>
    <s v="ADALBERTO RIVERA SANTIAGO"/>
    <s v="SALINAS"/>
    <s v="Renglón de cuero"/>
    <x v="15"/>
    <n v="1440"/>
    <n v="0"/>
    <n v="0"/>
    <n v="1440"/>
    <s v="Programa de apoyo a empresarios minoritarios"/>
  </r>
  <r>
    <s v="FIE60-2022-2023-0031"/>
    <s v="2023-001888-A"/>
    <x v="55"/>
    <d v="2023-09-01T00:00:00"/>
    <d v="2024-03-31T00:00:00"/>
    <s v="Contract"/>
    <s v="EXPERIMENTO LUDICO LLC"/>
    <s v="MAYAGÜEZ"/>
    <s v="Producción esta isla"/>
    <x v="14"/>
    <n v="150000"/>
    <n v="0"/>
    <n v="75000"/>
    <n v="75000"/>
    <s v="Auspicio"/>
  </r>
  <r>
    <s v="FIE60-2023-2024-0056"/>
    <s v="2024-000170"/>
    <x v="94"/>
    <d v="2023-09-04T00:00:00"/>
    <d v="2028-09-03T00:00:00"/>
    <s v="Contract"/>
    <s v="COOPERVISION MANUFACTURING PUERTO RICO LLC"/>
    <s v="JUANA DIAZ"/>
    <s v="Lentes de contacto blandos "/>
    <x v="9"/>
    <n v="7707846"/>
    <n v="0"/>
    <n v="1536214.17"/>
    <n v="6171631.8300000001"/>
    <n v="2.0099999999999998"/>
  </r>
  <r>
    <s v="FIE60-2023-2024-0035"/>
    <s v="2024-000171"/>
    <x v="94"/>
    <d v="2023-09-06T00:00:00"/>
    <d v="2026-09-05T00:00:00"/>
    <s v="Contract"/>
    <s v="CENTURY PACKING, CORP."/>
    <s v="LAS PIEDRAS"/>
    <s v="Salchillas de pollo"/>
    <x v="8"/>
    <n v="72000"/>
    <n v="0"/>
    <n v="48000"/>
    <n v="24000"/>
    <n v="1.5"/>
  </r>
  <r>
    <s v="FIE60-2023-2024-0034"/>
    <s v="2024-000172"/>
    <x v="94"/>
    <d v="2023-09-06T00:00:00"/>
    <d v="2026-09-05T00:00:00"/>
    <s v="Contract"/>
    <s v="CENTURY PACKING, CORP."/>
    <s v="LAS PIEDRAS"/>
    <s v="Salchillas de pollo"/>
    <x v="10"/>
    <n v="980000"/>
    <n v="0"/>
    <n v="653333.34"/>
    <n v="326666.66000000003"/>
    <n v="1.5"/>
  </r>
  <r>
    <s v="FIE60-2023-2024-0036"/>
    <s v="2024-000173"/>
    <x v="94"/>
    <d v="2023-09-12T00:00:00"/>
    <d v="2026-09-11T00:00:00"/>
    <s v="Contract"/>
    <s v="PJ ROSALY LLC"/>
    <s v="GUAYNABO"/>
    <s v="Control de inventario, logistica y transportacion de varias empresas"/>
    <x v="8"/>
    <n v="80000"/>
    <n v="0"/>
    <n v="0"/>
    <n v="80000"/>
    <n v="7.22"/>
  </r>
  <r>
    <s v="FIE60-2023-2024-0037"/>
    <s v="2024-000174"/>
    <x v="94"/>
    <d v="2023-09-12T00:00:00"/>
    <d v="2028-09-11T00:00:00"/>
    <s v="Contract"/>
    <s v="PJ ROSALY LLC"/>
    <s v="GUAYNABO"/>
    <s v="Control de inventario, logistica y transportacion de varias empresas"/>
    <x v="10"/>
    <n v="500000"/>
    <n v="0"/>
    <n v="67980"/>
    <n v="432020"/>
    <n v="7.22"/>
  </r>
  <r>
    <s v="FIE60-2023-2024-0042"/>
    <s v="2024-000175"/>
    <x v="99"/>
    <d v="2023-09-12T00:00:00"/>
    <d v="2024-09-11T00:00:00"/>
    <s v="Contract"/>
    <s v="P R MANUFACTURING EXTENSION, INC"/>
    <s v="SAN JUAN"/>
    <s v="Pareo de fondos requerido bajo la subvención concedida (grant) por el nist-mep (año fiscal 2023-2024)"/>
    <x v="7"/>
    <n v="400000"/>
    <n v="0"/>
    <n v="400000"/>
    <n v="0"/>
    <s v="Programa de apoyo a empresarios minoritarios"/>
  </r>
  <r>
    <s v="FIE60-2023-2024-0015"/>
    <s v="2024-000209"/>
    <x v="85"/>
    <d v="2023-09-21T00:00:00"/>
    <d v="2028-09-20T00:00:00"/>
    <s v="Contract"/>
    <s v="B.B. BEDDING, LLC"/>
    <s v="TRUJILLO ALTO"/>
    <s v="Unidades de muelles que se utilizan para la manufactura de mattresses"/>
    <x v="10"/>
    <n v="810000"/>
    <n v="0"/>
    <n v="778417.39"/>
    <n v="31582.609999999986"/>
    <n v="1.03"/>
  </r>
  <r>
    <s v="FIE60-2020-2021-0087"/>
    <s v="2021-000161-A"/>
    <x v="35"/>
    <d v="2023-09-23T00:00:00"/>
    <d v="2026-12-10T00:00:00"/>
    <s v="Contract"/>
    <s v="LUFTHANSA TECHNIK PUERTO RICO LLC"/>
    <s v="AGUADILLA"/>
    <s v="Aeroespacial"/>
    <x v="8"/>
    <n v="2500000"/>
    <n v="0"/>
    <n v="1645000"/>
    <n v="855000"/>
    <n v="6.48"/>
  </r>
  <r>
    <s v="FIE60-2023-2024-0087"/>
    <s v="2024-000230"/>
    <x v="101"/>
    <d v="2023-09-28T00:00:00"/>
    <d v="2026-09-27T00:00:00"/>
    <s v="Contract"/>
    <s v="DULZURA BORINCANA, INC."/>
    <s v="MOCA"/>
    <s v="Productos misceláneos de alimentos "/>
    <x v="8"/>
    <n v="8000"/>
    <n v="0"/>
    <n v="4799.97"/>
    <n v="3200.0299999999997"/>
    <n v="1.91"/>
  </r>
  <r>
    <s v="FIE60-2023-2024-0088"/>
    <s v="2024-000231"/>
    <x v="101"/>
    <d v="2023-09-28T00:00:00"/>
    <d v="2028-09-27T00:00:00"/>
    <s v="Contract"/>
    <s v="DULZURA BORINCANA, INC."/>
    <s v="MOCA"/>
    <s v="Productos misceláneos de alimentos "/>
    <x v="10"/>
    <n v="350000"/>
    <n v="0"/>
    <n v="213664.2"/>
    <n v="136335.79999999999"/>
    <n v="1.91"/>
  </r>
  <r>
    <s v="FIE60-2023-2024-0047"/>
    <s v="2024-000232"/>
    <x v="99"/>
    <d v="2023-10-02T00:00:00"/>
    <d v="2023-12-31T00:00:00"/>
    <s v="Contract"/>
    <s v="UPR - RECINTO DE BAYAMON"/>
    <s v="BAYAMON"/>
    <s v="Programa de capacitación a emprendedores iniciando su empresa"/>
    <x v="24"/>
    <n v="33600"/>
    <n v="0"/>
    <n v="30800"/>
    <n v="2800"/>
    <s v="Programa de apoyo a empresarios minoritarios"/>
  </r>
  <r>
    <s v="FIE60-2023-2024-0043"/>
    <s v="2024-000233"/>
    <x v="99"/>
    <d v="2023-10-03T00:00:00"/>
    <d v="2026-10-02T00:00:00"/>
    <s v="Contract"/>
    <s v="ANGEL L. LOPEZ DIAZ"/>
    <s v="AGUADA"/>
    <s v="Renglón de madera"/>
    <x v="15"/>
    <n v="1036.92"/>
    <n v="0"/>
    <n v="958.87"/>
    <n v="78.050000000000068"/>
    <s v="Programa de apoyo a empresarios minoritarios"/>
  </r>
  <r>
    <s v="FIE60-2020-2021-0129"/>
    <s v="2021-000365-A"/>
    <x v="38"/>
    <d v="2023-10-04T00:00:00"/>
    <d v="2026-06-29T00:00:00"/>
    <s v="Contract"/>
    <s v="C-Combinator Puerto Rico, LLC (C-Combinator)"/>
    <s v="SAN JUAN"/>
    <s v="Biotecnología agrícola"/>
    <x v="8"/>
    <n v="125000"/>
    <n v="0"/>
    <n v="0"/>
    <n v="125000"/>
    <n v="0.83"/>
  </r>
  <r>
    <s v="FIE60-2022-2023-0140"/>
    <s v="2023-002134-A"/>
    <x v="88"/>
    <d v="2023-10-04T00:00:00"/>
    <d v="2028-03-23T00:00:00"/>
    <s v="Contract"/>
    <s v="DI AMALFI PR LLC. "/>
    <s v="MAYAGÜEZ"/>
    <s v="Elaboración de pasta fresca artesanal"/>
    <x v="8"/>
    <n v="4800"/>
    <n v="0"/>
    <n v="0"/>
    <n v="4800"/>
    <n v="1.1299999999999999"/>
  </r>
  <r>
    <s v="FIE60-2022-2023-0141"/>
    <s v="2023-002135-A"/>
    <x v="88"/>
    <d v="2023-10-04T00:00:00"/>
    <d v="2028-03-23T00:00:00"/>
    <s v="Contract"/>
    <s v="DI AMALFI PR LLC. "/>
    <s v="MAYAGÜEZ"/>
    <s v="Elaboración de pasta fresca artesanal"/>
    <x v="10"/>
    <n v="65000"/>
    <n v="0"/>
    <n v="55877.94"/>
    <n v="9122.0599999999977"/>
    <n v="1.1299999999999999"/>
  </r>
  <r>
    <s v="FIE60-2023-2024-0083"/>
    <s v="2024-000237"/>
    <x v="101"/>
    <d v="2023-10-04T00:00:00"/>
    <d v="2026-10-03T00:00:00"/>
    <s v="Contract"/>
    <s v="BEST SEASONING GROUP, INC."/>
    <s v="JUANA DIAZ"/>
    <s v="Empaque y distribución de variedad de sofritos, ajos, salsas, aderezos, sazonadores, adobos, condimentos y especies"/>
    <x v="8"/>
    <n v="7500"/>
    <n v="0"/>
    <n v="0"/>
    <n v="7500"/>
    <n v="15.87"/>
  </r>
  <r>
    <s v="FIE60-2023-2024-0084"/>
    <s v="2024-000238"/>
    <x v="101"/>
    <d v="2023-10-04T00:00:00"/>
    <d v="2028-10-03T00:00:00"/>
    <s v="Contract"/>
    <s v="BEST SEASONING GROUP, INC."/>
    <s v="JUANA DIAZ"/>
    <s v="Empaque y distribución de variedad de sofritos, ajos, salsas, aderezos, sazonadores, adobos, condimentos y especies"/>
    <x v="10"/>
    <n v="57767.1"/>
    <n v="0"/>
    <n v="25925.279999999999"/>
    <n v="31841.82"/>
    <n v="15.87"/>
  </r>
  <r>
    <s v="FIE60-2023-2024-0043"/>
    <s v="2024-000235"/>
    <x v="99"/>
    <d v="2023-10-04T00:00:00"/>
    <d v="2026-10-03T00:00:00"/>
    <s v="Cancelled"/>
    <s v="ELIZABETH FIGUEROA MENDEZ"/>
    <s v="TOA BAJA"/>
    <s v="Renglón de madera"/>
    <x v="15"/>
    <n v="1000"/>
    <n v="16.12"/>
    <n v="983.88"/>
    <n v="0"/>
    <s v="Programa de apoyo a empresarios minoritarios.  Finanzas solicita cancelar balance al 4-10-2025"/>
  </r>
  <r>
    <s v="FIE60-2023-2024-0129"/>
    <s v="2024-000240"/>
    <x v="83"/>
    <d v="2023-10-05T00:00:00"/>
    <d v="2028-10-04T00:00:00"/>
    <s v="Contract"/>
    <s v="ABARTYS HEALTH, LLC"/>
    <s v="SAN JUAN"/>
    <s v="Desarrollo de plataforma de análisis de datos de salud (software), clinic lynk"/>
    <x v="8"/>
    <n v="95000"/>
    <n v="0"/>
    <n v="0"/>
    <n v="95000"/>
    <n v="6.17"/>
  </r>
  <r>
    <s v="FIE60-2023-2024-0130"/>
    <s v="2024-000241"/>
    <x v="83"/>
    <d v="2023-10-05T00:00:00"/>
    <d v="2028-10-04T00:00:00"/>
    <s v="Contract"/>
    <s v="ABARTYS HEALTH, LLC"/>
    <s v="SAN JUAN"/>
    <s v="Desarrollo de plataforma de análisis de datos de salud (software), clinic lynk"/>
    <x v="10"/>
    <n v="73770"/>
    <n v="0"/>
    <n v="0"/>
    <n v="73770"/>
    <n v="6.17"/>
  </r>
  <r>
    <s v="FIE60-2023-2024-0044"/>
    <s v="2024-000242"/>
    <x v="99"/>
    <d v="2023-10-06T00:00:00"/>
    <d v="2024-06-30T00:00:00"/>
    <s v="Contract"/>
    <s v="MUNICIPIO DE VEGA BAJA"/>
    <s v="VEGA BAJA"/>
    <s v="Vigésimo certamen de talla a la virgen del rosario"/>
    <x v="15"/>
    <n v="2000"/>
    <n v="0"/>
    <n v="0"/>
    <n v="2000"/>
    <s v="Programa de apoyo a empresarios minoritarios"/>
  </r>
  <r>
    <s v="FIE60-2023-2024-0101"/>
    <s v="2024-000243"/>
    <x v="101"/>
    <d v="2023-10-09T00:00:00"/>
    <d v="2028-10-08T00:00:00"/>
    <s v="Contract"/>
    <s v="PALEFRUTA CORP."/>
    <s v="ISABELA"/>
    <s v="Paletas de helados de frutas"/>
    <x v="10"/>
    <n v="27900"/>
    <n v="0"/>
    <n v="0"/>
    <n v="27900"/>
    <n v="1.8"/>
  </r>
  <r>
    <s v="FIE60-2023-2024-0043"/>
    <s v="2024-000248"/>
    <x v="99"/>
    <d v="2023-10-11T00:00:00"/>
    <d v="2026-10-10T00:00:00"/>
    <s v="Contract"/>
    <s v="MALDONADO MEJIAS, SARAH"/>
    <s v="ADJUNTAS"/>
    <s v="Renglón de barro"/>
    <x v="15"/>
    <n v="1060"/>
    <n v="0"/>
    <n v="1000"/>
    <n v="60"/>
    <s v="Programa de apoyo a empresarios minoritarios"/>
  </r>
  <r>
    <s v="FIE60-2023-2024-0043"/>
    <s v="2024-000249"/>
    <x v="99"/>
    <d v="2023-10-11T00:00:00"/>
    <d v="2026-10-10T00:00:00"/>
    <s v="Contract"/>
    <s v="JUAN R. GUZMAN SOTO"/>
    <s v="JUANA DIAZ"/>
    <s v="Renglón de labores de barro"/>
    <x v="15"/>
    <n v="994.58"/>
    <n v="0"/>
    <n v="892"/>
    <n v="102.58000000000004"/>
    <s v="Programa de apoyo a empresarios minoritarios"/>
  </r>
  <r>
    <s v="FIE60-2023-2024-0044"/>
    <s v="2024-000253"/>
    <x v="99"/>
    <d v="2023-10-11T00:00:00"/>
    <d v="2024-06-30T00:00:00"/>
    <s v="Contract"/>
    <s v="KARLA MORALES MORENO"/>
    <s v="JUNCOS"/>
    <s v="Participación en el décimo séptimo festival de puerto rico en texas"/>
    <x v="15"/>
    <n v="1200"/>
    <n v="0"/>
    <n v="949.02"/>
    <n v="250.98000000000002"/>
    <s v="Programa de apoyo a empresarios minoritarios"/>
  </r>
  <r>
    <s v="FIE60-2023-2024-0044"/>
    <s v="2024-000254"/>
    <x v="99"/>
    <d v="2023-10-11T00:00:00"/>
    <d v="2024-06-30T00:00:00"/>
    <s v="Contract"/>
    <s v="ALEJANDRA BAIZ TORRES"/>
    <s v="AGUADA"/>
    <s v="Participación en el décimo séptimo festival de puerto rico en texas"/>
    <x v="15"/>
    <n v="1200"/>
    <n v="0"/>
    <n v="1044.9100000000001"/>
    <n v="155.08999999999992"/>
    <s v="Programa de apoyo a empresarios minoritarios"/>
  </r>
  <r>
    <s v="FIE60-2023-2024-0044"/>
    <s v="2024-000255"/>
    <x v="99"/>
    <d v="2023-10-11T00:00:00"/>
    <d v="2024-06-30T00:00:00"/>
    <s v="Contract"/>
    <s v="MANUEL LIANO OTERO"/>
    <s v="AGUADA"/>
    <s v="Participación en el décimo séptimo festival de puerto rico en texas"/>
    <x v="15"/>
    <n v="1200"/>
    <n v="0"/>
    <n v="1121.9100000000001"/>
    <n v="78.089999999999918"/>
    <s v="Programa de apoyo a empresarios minoritarios"/>
  </r>
  <r>
    <s v="FIE60-2023-2024-0047"/>
    <s v="2024-000262"/>
    <x v="99"/>
    <d v="2023-10-12T00:00:00"/>
    <d v="2025-10-11T00:00:00"/>
    <s v="Contract"/>
    <s v="ATV POWER RACING, INC."/>
    <s v="CAROLINA"/>
    <s v="Importancia de Proyecto"/>
    <x v="24"/>
    <n v="20000"/>
    <n v="0"/>
    <n v="19000"/>
    <n v="1000"/>
    <s v="Programa de apoyo a empresarios minoritarios"/>
  </r>
  <r>
    <s v="FIE60-2023-2024-0047"/>
    <s v="2024-000263"/>
    <x v="99"/>
    <d v="2023-10-12T00:00:00"/>
    <d v="2025-10-11T00:00:00"/>
    <s v="Contract"/>
    <s v="CARIBBEAN FOOD SERVICES, LLC"/>
    <s v="SAN JUAN"/>
    <s v="Bebidas y alimentos"/>
    <x v="24"/>
    <n v="30000"/>
    <n v="0"/>
    <n v="14081.61"/>
    <n v="15918.39"/>
    <s v="Programa de apoyo a empresarios minoritarios"/>
  </r>
  <r>
    <s v="FIE60-2023-2024-0047"/>
    <s v="2024-000264"/>
    <x v="99"/>
    <d v="2023-10-12T00:00:00"/>
    <d v="2025-10-11T00:00:00"/>
    <s v="Contract"/>
    <s v="CARLOS R. ORTIZ DIAZ"/>
    <s v="OROCOVIS"/>
    <s v="Bebidas y alimentos"/>
    <x v="24"/>
    <n v="20000"/>
    <n v="0"/>
    <n v="5355"/>
    <n v="14645"/>
    <s v="Programa de apoyo a empresarios minoritarios"/>
  </r>
  <r>
    <s v="FIE60-2023-2024-0047"/>
    <s v="2024-000265"/>
    <x v="99"/>
    <d v="2023-10-12T00:00:00"/>
    <d v="2025-10-11T00:00:00"/>
    <s v="Contract"/>
    <s v="CARLOS J. RIVERA SANTIAGO"/>
    <s v="COROZAL"/>
    <s v="Bebidas y alimentos"/>
    <x v="24"/>
    <n v="20000"/>
    <n v="0"/>
    <n v="3137.24"/>
    <n v="16862.760000000002"/>
    <s v="Programa de apoyo a empresarios minoritarios"/>
  </r>
  <r>
    <s v="FIE60-2023-2024-0047"/>
    <s v="2024-000266"/>
    <x v="99"/>
    <d v="2023-10-12T00:00:00"/>
    <d v="2025-10-11T00:00:00"/>
    <s v="Contract"/>
    <s v="CCB HOLDING LLC"/>
    <s v="LUQUILLO"/>
    <s v="Comercio al detal"/>
    <x v="24"/>
    <n v="10000"/>
    <n v="0"/>
    <n v="10000"/>
    <n v="0"/>
    <s v="Programa de apoyo a empresarios minoritarios"/>
  </r>
  <r>
    <s v="FIE60-2023-2024-0047"/>
    <s v="2024-000271"/>
    <x v="99"/>
    <d v="2023-10-12T00:00:00"/>
    <d v="2025-10-11T00:00:00"/>
    <s v="Contract"/>
    <s v="CUIDO CORAZONCITO, INC."/>
    <s v="SAN JUAN"/>
    <m/>
    <x v="24"/>
    <n v="18000"/>
    <n v="0"/>
    <n v="4914.07"/>
    <n v="13085.93"/>
    <s v="Programa de apoyo a empresarios minoritarios"/>
  </r>
  <r>
    <s v="FIE60-2023-2024-0047"/>
    <s v="2024-000274"/>
    <x v="99"/>
    <d v="2023-10-12T00:00:00"/>
    <d v="2025-10-11T00:00:00"/>
    <s v="Contract"/>
    <s v="DIAZ MINIMARKET Y BABY CENTER, INC."/>
    <s v="CAYEY"/>
    <s v="Comercio al detal"/>
    <x v="24"/>
    <n v="30000"/>
    <n v="0"/>
    <n v="13883.58"/>
    <n v="16116.42"/>
    <s v="Programa de apoyo a empresarios minoritarios"/>
  </r>
  <r>
    <s v="FIE60-2023-2024-0047"/>
    <s v="2024-000275"/>
    <x v="99"/>
    <d v="2023-10-12T00:00:00"/>
    <d v="2025-10-11T00:00:00"/>
    <s v="Contract"/>
    <s v="DRA. NYDIA I. SANTANA SEGARRA P.S.C."/>
    <s v="YAUCO"/>
    <m/>
    <x v="24"/>
    <n v="7200"/>
    <n v="0"/>
    <n v="7200"/>
    <n v="0"/>
    <s v="Programa de apoyo a empresarios minoritarios"/>
  </r>
  <r>
    <s v="FIE60-2023-2024-0047"/>
    <s v="2024-000276"/>
    <x v="99"/>
    <d v="2023-10-12T00:00:00"/>
    <d v="2025-10-11T00:00:00"/>
    <s v="Contract"/>
    <s v="E AND M BROTHERS CONSTRUCTION, LLC"/>
    <s v="ARECIBO"/>
    <m/>
    <x v="24"/>
    <n v="50000"/>
    <n v="0"/>
    <n v="50000"/>
    <n v="0"/>
    <s v="Programa de apoyo a empresarios minoritarios"/>
  </r>
  <r>
    <s v="FIE60-2023-2024-0047"/>
    <s v="2024-000277"/>
    <x v="99"/>
    <d v="2023-10-12T00:00:00"/>
    <d v="2025-10-11T00:00:00"/>
    <s v="Contract"/>
    <s v="EL MOLCAJETE MEXICAN CUISINE &amp; MORE LLC"/>
    <s v="VEGA BAJA"/>
    <s v="Bebidas y alimentos"/>
    <x v="24"/>
    <n v="20000"/>
    <n v="0"/>
    <n v="5890.21"/>
    <n v="14109.79"/>
    <s v="Programa de apoyo a empresarios minoritarios"/>
  </r>
  <r>
    <s v="FIE60-2023-2024-0047"/>
    <s v="2024-000284"/>
    <x v="99"/>
    <d v="2023-10-12T00:00:00"/>
    <d v="2025-10-11T00:00:00"/>
    <s v="Contract"/>
    <s v="HECTOR L. CORDERO DIAZ "/>
    <s v="BARRANQUITAS"/>
    <s v="Bebidas y alimentos"/>
    <x v="24"/>
    <n v="25000"/>
    <n v="0"/>
    <n v="24998.78"/>
    <n v="1.2200000000011642"/>
    <s v="Programa de apoyo a empresarios minoritarios"/>
  </r>
  <r>
    <s v="FIE60-2023-2024-0047"/>
    <s v="2024-000285"/>
    <x v="99"/>
    <d v="2023-10-12T00:00:00"/>
    <d v="2025-10-11T00:00:00"/>
    <s v="Contract"/>
    <s v="HIGH ALTERNATIVE EDUCATION CORP."/>
    <s v="SAN JUAN"/>
    <m/>
    <x v="24"/>
    <n v="18000"/>
    <n v="0"/>
    <n v="17568.89"/>
    <n v="431.11000000000058"/>
    <s v="Programa de apoyo a empresarios minoritarios"/>
  </r>
  <r>
    <s v="FIE60-2023-2024-0047"/>
    <s v="2024-000290"/>
    <x v="99"/>
    <d v="2023-10-12T00:00:00"/>
    <d v="2025-10-11T00:00:00"/>
    <s v="Contract"/>
    <s v="JOSE E. ARIAS BENABE "/>
    <s v="NARANJITO"/>
    <s v="Oficina médica"/>
    <x v="24"/>
    <n v="20000"/>
    <n v="0"/>
    <n v="0"/>
    <n v="20000"/>
    <s v="Programa de apoyo a empresarios minoritarios"/>
  </r>
  <r>
    <s v="FIE60-2023-2024-0047"/>
    <s v="2024-000292"/>
    <x v="99"/>
    <d v="2023-10-12T00:00:00"/>
    <d v="2025-10-11T00:00:00"/>
    <s v="Contract"/>
    <s v="JULIO E. VAZQUEZ SUAREZ "/>
    <s v="GUAYNABO"/>
    <s v="Comercio al detal"/>
    <x v="24"/>
    <n v="40000"/>
    <n v="0"/>
    <n v="40000"/>
    <n v="0"/>
    <s v="Programa de apoyo a empresarios minoritarios"/>
  </r>
  <r>
    <s v="FIE60-2023-2024-0047"/>
    <s v="2024-000295"/>
    <x v="99"/>
    <d v="2023-10-12T00:00:00"/>
    <d v="2025-10-11T00:00:00"/>
    <s v="Contract"/>
    <s v="LAB SUSUA, INC."/>
    <s v="YAUCO"/>
    <m/>
    <x v="24"/>
    <n v="20000"/>
    <n v="0"/>
    <n v="19500"/>
    <n v="500"/>
    <s v="Programa de apoyo a empresarios minoritarios"/>
  </r>
  <r>
    <s v="FIE60-2023-2024-0047"/>
    <s v="2024-000296"/>
    <x v="99"/>
    <d v="2023-10-12T00:00:00"/>
    <d v="2025-10-11T00:00:00"/>
    <s v="Contract"/>
    <s v="LABORATORIO CLINICO EL ROSARIO, INC."/>
    <s v="VEGA BAJA"/>
    <m/>
    <x v="24"/>
    <n v="50000"/>
    <n v="0"/>
    <n v="0"/>
    <n v="50000"/>
    <s v="Programa de apoyo a empresarios minoritarios"/>
  </r>
  <r>
    <s v="FIE60-2023-2024-0047"/>
    <s v="2024-000300"/>
    <x v="99"/>
    <d v="2023-10-12T00:00:00"/>
    <d v="2025-10-11T00:00:00"/>
    <s v="Contract"/>
    <s v="MARIA M. RODRIGUEZ DAMAS / ARLEKINO"/>
    <s v="SAN JUAN"/>
    <s v="Comercio al detal"/>
    <x v="24"/>
    <n v="24000"/>
    <n v="0"/>
    <n v="24000"/>
    <n v="0"/>
    <s v="Programa de apoyo a empresarios minoritarios"/>
  </r>
  <r>
    <s v="FIE60-2023-2024-0047"/>
    <s v="2024-000303"/>
    <x v="99"/>
    <d v="2023-10-12T00:00:00"/>
    <d v="2025-10-11T00:00:00"/>
    <s v="Contract"/>
    <s v="MAZ HEALTH AND FITNESS LLC"/>
    <s v="MAYAGÜEZ"/>
    <m/>
    <x v="24"/>
    <n v="9500"/>
    <n v="0"/>
    <n v="9500"/>
    <n v="0"/>
    <s v="Programa de apoyo a empresarios minoritarios"/>
  </r>
  <r>
    <s v="FIE60-2023-2024-0047"/>
    <s v="2024-000305"/>
    <x v="99"/>
    <d v="2023-10-12T00:00:00"/>
    <d v="2025-10-11T00:00:00"/>
    <s v="Contract"/>
    <s v="NEFTALI  DIAZ GOMEZ / PINTADITA PR"/>
    <s v="SAN JUAN"/>
    <s v="Bebidas y alimentos"/>
    <x v="24"/>
    <n v="20000"/>
    <n v="0"/>
    <n v="17847.09"/>
    <n v="2152.91"/>
    <s v="Programa de apoyo a empresarios minoritarios"/>
  </r>
  <r>
    <s v="FIE60-2023-2024-0047"/>
    <s v="2024-000306"/>
    <x v="99"/>
    <d v="2023-10-12T00:00:00"/>
    <d v="2025-10-11T00:00:00"/>
    <s v="Contract"/>
    <s v="OBNIEL GONZALEZ LOPEZ"/>
    <s v="MOCA"/>
    <s v="Servicio y mantenimiento de electricidad"/>
    <x v="24"/>
    <n v="15000"/>
    <n v="0"/>
    <n v="15000"/>
    <n v="0"/>
    <s v="Programa de apoyo a empresarios minoritarios"/>
  </r>
  <r>
    <s v="FIE60-2023-2024-0047"/>
    <s v="2024-000308"/>
    <x v="99"/>
    <d v="2023-10-12T00:00:00"/>
    <d v="2025-10-11T00:00:00"/>
    <s v="Contract"/>
    <s v="PA'PICAR INC"/>
    <s v="BARCELONETA"/>
    <s v="Bebidas y alimentos"/>
    <x v="24"/>
    <n v="20000"/>
    <n v="0"/>
    <n v="16115.25"/>
    <n v="3884.75"/>
    <s v="Programa de apoyo a empresarios minoritarios"/>
  </r>
  <r>
    <s v="FIE60-2023-2024-0047"/>
    <s v="2024-000310"/>
    <x v="99"/>
    <d v="2023-10-12T00:00:00"/>
    <d v="2025-10-11T00:00:00"/>
    <s v="Contract"/>
    <s v="PIRAMIDE REAL ESTATE BROKERS C.S.P."/>
    <s v="SAN JUAN"/>
    <m/>
    <x v="24"/>
    <n v="30000"/>
    <n v="0"/>
    <n v="0"/>
    <n v="30000"/>
    <s v="Programa de apoyo a empresarios minoritarios"/>
  </r>
  <r>
    <s v="FIE60-2023-2024-0047"/>
    <s v="2024-000312"/>
    <x v="99"/>
    <d v="2023-10-12T00:00:00"/>
    <d v="2024-10-11T00:00:00"/>
    <s v="Contract"/>
    <s v="PRIZZA BAYAMON, LLC"/>
    <s v="BAYAMON"/>
    <s v="Bebidas y alimentos"/>
    <x v="24"/>
    <n v="15000"/>
    <n v="0"/>
    <n v="0"/>
    <n v="15000"/>
    <s v="Programa de apoyo a empresarios minoritarios"/>
  </r>
  <r>
    <s v="FIE60-2023-2024-0047"/>
    <s v="2024-000315"/>
    <x v="99"/>
    <d v="2023-10-12T00:00:00"/>
    <d v="2025-10-11T00:00:00"/>
    <s v="Contract"/>
    <s v="RICHEST FROZEN YOGURT, INC."/>
    <s v="CAGUAS"/>
    <s v="Bebidas y alimentos"/>
    <x v="24"/>
    <n v="30000"/>
    <n v="0"/>
    <n v="30000"/>
    <n v="0"/>
    <s v="Programa de apoyo a empresarios minoritarios"/>
  </r>
  <r>
    <s v="FIE60-2023-2024-0047"/>
    <s v="2024-000316"/>
    <x v="99"/>
    <d v="2023-10-12T00:00:00"/>
    <d v="2025-10-11T00:00:00"/>
    <s v="Contract"/>
    <s v="ROGER J. IGLESIAS SUAREZ "/>
    <s v="SAN JUAN"/>
    <s v="Bebidas y alimentos"/>
    <x v="24"/>
    <n v="30000"/>
    <n v="0"/>
    <n v="27842.42"/>
    <n v="2157.5800000000017"/>
    <s v="Programa de apoyo a empresarios minoritarios"/>
  </r>
  <r>
    <s v="FIE60-2023-2024-0047"/>
    <s v="2024-000319"/>
    <x v="99"/>
    <d v="2023-10-12T00:00:00"/>
    <d v="2024-10-11T00:00:00"/>
    <s v="Contract"/>
    <s v="RYC CORPORATION"/>
    <s v="HUMACAO"/>
    <s v="Comercio al detal"/>
    <x v="24"/>
    <n v="15000"/>
    <n v="0"/>
    <n v="15000"/>
    <n v="0"/>
    <s v="Programa de apoyo a empresarios minoritarios"/>
  </r>
  <r>
    <s v="FIE60-2023-2024-0047"/>
    <s v="2024-000323"/>
    <x v="99"/>
    <d v="2023-10-12T00:00:00"/>
    <d v="2025-10-11T00:00:00"/>
    <s v="Contract"/>
    <s v="SANTIAGO SANTOS, INC. "/>
    <s v="SAN JUAN"/>
    <s v="Bebidas y alimentos"/>
    <x v="24"/>
    <n v="25000"/>
    <n v="0"/>
    <n v="18368.900000000001"/>
    <n v="6631.0999999999985"/>
    <s v="Programa de apoyo a empresarios minoritarios"/>
  </r>
  <r>
    <s v="FIE60-2022-2023-0032"/>
    <s v="2023-001695-B"/>
    <x v="102"/>
    <d v="2023-10-16T00:00:00"/>
    <d v="2024-01-31T00:00:00"/>
    <s v="Contract"/>
    <s v="OLYMPIC PERFORMANCE, LLC"/>
    <s v="SAN JUAN"/>
    <s v="Ferias de servicios, enlace programático relacionado con el desarrollo empresarial y profesional de jóvenes, evento joven destacado municipal "/>
    <x v="16"/>
    <n v="219000"/>
    <n v="0"/>
    <n v="211000"/>
    <n v="8000"/>
    <s v="Programa de apoyo a empresarios minoritarios"/>
  </r>
  <r>
    <s v="FIE60-2023-2024-0062"/>
    <s v="2024-000359"/>
    <x v="94"/>
    <d v="2023-10-19T00:00:00"/>
    <d v="2028-10-18T00:00:00"/>
    <s v="Contract"/>
    <s v="INTERNATIONAL PUBLIC TERMINAL LLC"/>
    <s v="GUAYNABO"/>
    <s v="Centro de almacenamiento, distribución, transporte, almacenamiento de carga para exportación y recepción de carga de transbordo "/>
    <x v="8"/>
    <n v="68250"/>
    <n v="0"/>
    <n v="0"/>
    <n v="68250"/>
    <n v="5.26"/>
  </r>
  <r>
    <s v="FIE60-2023-2024-0063"/>
    <s v="2024-000360"/>
    <x v="94"/>
    <d v="2023-10-19T00:00:00"/>
    <d v="2028-10-18T00:00:00"/>
    <s v="Contract"/>
    <s v="INTERNATIONAL PUBLIC TERMINAL LLC"/>
    <s v="GUAYNABO"/>
    <s v="Centro de almacenamiento, distribución, transporte, almacenamiento de carga para exportación y recepción de carga de transbordo "/>
    <x v="10"/>
    <n v="1431750"/>
    <n v="0"/>
    <n v="0"/>
    <n v="1431750"/>
    <n v="5.26"/>
  </r>
  <r>
    <s v="FIE60-2023-2024-0044"/>
    <s v="2024-000344"/>
    <x v="99"/>
    <d v="2023-10-20T00:00:00"/>
    <d v="2024-06-30T00:00:00"/>
    <s v="Contract"/>
    <s v="CENTRO COMUNITARIO RVDA INES J FIGUEROA"/>
    <s v="SAN JUAN"/>
    <s v="Talleres renglones de cuero y talla en madera"/>
    <x v="15"/>
    <n v="2880"/>
    <n v="0"/>
    <n v="2880"/>
    <n v="0"/>
    <s v="Programa de apoyo a empresarios minoritarios"/>
  </r>
  <r>
    <s v="FIE60-2023-2024-0047"/>
    <s v="2024-000342"/>
    <x v="99"/>
    <d v="2023-10-20T00:00:00"/>
    <d v="2025-10-19T00:00:00"/>
    <s v="Contract"/>
    <s v="COMMUNITY HEALTH SERVICES, LLC"/>
    <s v="ISABELA"/>
    <s v="Otros"/>
    <x v="24"/>
    <n v="10000"/>
    <n v="0"/>
    <n v="0"/>
    <n v="10000"/>
    <s v="Programa de apoyo a empresarios minoritarios"/>
  </r>
  <r>
    <s v="FIE60-2022-2023-0197"/>
    <s v="2023-002408-A"/>
    <x v="94"/>
    <d v="2023-10-23T00:00:00"/>
    <d v="2026-06-25T00:00:00"/>
    <s v="Contract"/>
    <s v="CRIOLITE CORP"/>
    <s v="LAS PIEDRAS"/>
    <s v="Manufactura de comidas saludables congeladas"/>
    <x v="10"/>
    <n v="101920"/>
    <n v="0"/>
    <n v="0"/>
    <n v="101920"/>
    <n v="4.29"/>
  </r>
  <r>
    <s v="FIE60-2023-2024-0047"/>
    <s v="2024-000364"/>
    <x v="99"/>
    <d v="2023-10-26T00:00:00"/>
    <d v="2025-10-25T00:00:00"/>
    <s v="Contract"/>
    <s v="FOUNTAIN CHRISTIAN BILINGUAL"/>
    <s v="GUAYAMA"/>
    <m/>
    <x v="24"/>
    <n v="50000"/>
    <n v="0"/>
    <n v="31600"/>
    <n v="18400"/>
    <s v="Programa de apoyo a empresarios minoritarios"/>
  </r>
  <r>
    <s v="FIE60-2023-2024-0126"/>
    <s v="2024-000411"/>
    <x v="94"/>
    <d v="2023-10-27T00:00:00"/>
    <d v="2026-10-26T00:00:00"/>
    <s v="Cancelled"/>
    <s v="NEOLPHARMA, INC."/>
    <s v="CAGUAS"/>
    <s v="Preparaciones farmacéuticas"/>
    <x v="8"/>
    <n v="50000"/>
    <n v="50000"/>
    <n v="0"/>
    <n v="0"/>
    <n v="5.03"/>
  </r>
  <r>
    <s v="FIE60-2023-2024-0127"/>
    <s v="2024-000412"/>
    <x v="94"/>
    <d v="2023-10-27T00:00:00"/>
    <d v="2026-10-26T00:00:00"/>
    <s v="Contract"/>
    <s v="NEOLPHARMA, INC."/>
    <s v="CAGUAS"/>
    <s v="Preparaciones farmacéuticas"/>
    <x v="10"/>
    <n v="200000"/>
    <n v="0"/>
    <n v="0"/>
    <n v="200000"/>
    <n v="5.03"/>
  </r>
  <r>
    <s v="FIE60-2023-2024-0128"/>
    <s v="2024-000413"/>
    <x v="94"/>
    <d v="2023-10-27T00:00:00"/>
    <d v="2026-10-26T00:00:00"/>
    <s v="Contract"/>
    <s v="NEOLPHARMA, INC."/>
    <s v="CAGUAS"/>
    <s v="Preparaciones farmacéuticas"/>
    <x v="27"/>
    <n v="350000"/>
    <n v="0"/>
    <n v="0"/>
    <n v="350000"/>
    <n v="5.03"/>
  </r>
  <r>
    <s v="FIE60-2023-2024-0121"/>
    <s v="2024-000414"/>
    <x v="83"/>
    <d v="2023-10-27T00:00:00"/>
    <d v="2026-10-26T00:00:00"/>
    <s v="Contract"/>
    <s v="NEOLPHARMA, INC."/>
    <s v="CAGUAS"/>
    <s v="Preparaciones farmacéuticas"/>
    <x v="10"/>
    <n v="200000"/>
    <n v="0"/>
    <n v="0"/>
    <n v="200000"/>
    <n v="40.35"/>
  </r>
  <r>
    <s v="FIE60-2023-2024-0122"/>
    <s v="2024-000415"/>
    <x v="83"/>
    <d v="2023-10-27T00:00:00"/>
    <d v="2026-10-26T00:00:00"/>
    <s v="Contract"/>
    <s v="NEOLPHARMA, INC."/>
    <s v="CAGUAS"/>
    <s v="Preparaciones farmacéuticas"/>
    <x v="27"/>
    <n v="450000"/>
    <n v="0"/>
    <n v="0"/>
    <n v="450000"/>
    <n v="40.35"/>
  </r>
  <r>
    <s v="FIE60-2023-2024-0123"/>
    <s v="2024-000416"/>
    <x v="94"/>
    <d v="2023-10-27T00:00:00"/>
    <d v="2026-10-26T00:00:00"/>
    <s v="Cancelled"/>
    <s v="NEOLPHARMA, INC."/>
    <s v="CAGUAS"/>
    <s v="Preparaciones farmacéuticas"/>
    <x v="8"/>
    <n v="26000"/>
    <n v="26000"/>
    <n v="0"/>
    <n v="0"/>
    <n v="1.57"/>
  </r>
  <r>
    <s v="FIE60-2023-2024-0124"/>
    <s v="2024-000417"/>
    <x v="94"/>
    <d v="2023-10-27T00:00:00"/>
    <d v="2026-10-26T00:00:00"/>
    <s v="Contract"/>
    <s v="NEOLPHARMA, INC."/>
    <s v="CAGUAS"/>
    <s v="Preparaciones farmacéuticas"/>
    <x v="10"/>
    <n v="72000"/>
    <n v="0"/>
    <n v="0"/>
    <n v="72000"/>
    <n v="1.57"/>
  </r>
  <r>
    <s v="FIE60-2023-2024-0125"/>
    <s v="2024-000418"/>
    <x v="94"/>
    <d v="2023-10-27T00:00:00"/>
    <d v="2026-10-26T00:00:00"/>
    <s v="Contract"/>
    <s v="NEOLPHARMA, INC."/>
    <s v="CAGUAS"/>
    <s v="Preparaciones farmacéuticas"/>
    <x v="27"/>
    <n v="1000000"/>
    <n v="0"/>
    <n v="0"/>
    <n v="1000000"/>
    <n v="1.57"/>
  </r>
  <r>
    <s v="FIE60-2023-2024-0095"/>
    <s v="2024-000419"/>
    <x v="101"/>
    <d v="2023-10-27T00:00:00"/>
    <d v="2028-10-26T00:00:00"/>
    <s v="Contract"/>
    <s v="MARXUACH PRECAST SOLUTIONS, INC."/>
    <s v="CAROLINA"/>
    <s v="Manufactura de prefabricados en hormigón"/>
    <x v="8"/>
    <n v="72000"/>
    <n v="0"/>
    <n v="0"/>
    <n v="72000"/>
    <n v="1.23"/>
  </r>
  <r>
    <s v="FIE60-2023-2024-0096"/>
    <s v="2024-000420"/>
    <x v="101"/>
    <d v="2023-10-27T00:00:00"/>
    <d v="2028-10-26T00:00:00"/>
    <s v="Contract"/>
    <s v="MARXUACH PRECAST SOLUTIONS, INC."/>
    <s v="CAROLINA"/>
    <s v="Manufactura de prefabricados en hormigón"/>
    <x v="10"/>
    <n v="1442706"/>
    <n v="0"/>
    <n v="600000"/>
    <n v="842706"/>
    <n v="1.23"/>
  </r>
  <r>
    <s v="FIE60-2023-2024-0044"/>
    <s v="2024-000432"/>
    <x v="99"/>
    <d v="2023-10-27T00:00:00"/>
    <d v="2024-10-26T00:00:00"/>
    <s v="Contract"/>
    <s v="JAMALU RENTAL, INC"/>
    <s v="BAYAMON"/>
    <s v="Trigésimo octavo festival del plátano"/>
    <x v="15"/>
    <n v="2000"/>
    <n v="0"/>
    <n v="2000"/>
    <n v="0"/>
    <s v="Programa de apoyo a empresarios minoritarios"/>
  </r>
  <r>
    <s v="FIE60-2023-2024-0047"/>
    <s v="2024-000365"/>
    <x v="99"/>
    <d v="2023-10-27T00:00:00"/>
    <d v="2025-10-26T00:00:00"/>
    <s v="Contract"/>
    <s v="SERVICIOS EDUCATIVOS EBENEZER, INC."/>
    <s v="TOA ALTA"/>
    <s v="Importancia de Proyecto"/>
    <x v="24"/>
    <n v="24000"/>
    <n v="0"/>
    <n v="17985"/>
    <n v="6015"/>
    <s v="Programa de apoyo a empresarios minoritarios"/>
  </r>
  <r>
    <s v="FIE60-2023-2024-0047"/>
    <s v="2024-000368"/>
    <x v="99"/>
    <d v="2023-10-27T00:00:00"/>
    <d v="2025-10-26T00:00:00"/>
    <s v="Contract"/>
    <s v="SANTURCIA1653 LLC"/>
    <s v="SAN JUAN"/>
    <s v="Turismo"/>
    <x v="24"/>
    <n v="50000"/>
    <n v="0"/>
    <n v="50000"/>
    <n v="0"/>
    <s v="Programa de apoyo a empresarios minoritarios"/>
  </r>
  <r>
    <s v="FIE60-2023-2024-0047"/>
    <s v="2024-000372"/>
    <x v="99"/>
    <d v="2023-10-27T00:00:00"/>
    <d v="2025-10-26T00:00:00"/>
    <s v="Contract"/>
    <s v="JOEL TIRE CENTER Y SUPER ESPECIALES JOEL"/>
    <s v="AIBONITO"/>
    <s v="Comercio al detal"/>
    <x v="24"/>
    <n v="50000"/>
    <n v="0"/>
    <n v="9520"/>
    <n v="40480"/>
    <s v="Programa de apoyo a empresarios minoritarios"/>
  </r>
  <r>
    <s v="FIE60-2023-2024-0047"/>
    <s v="2024-000373"/>
    <x v="99"/>
    <d v="2023-10-27T00:00:00"/>
    <d v="2025-10-26T00:00:00"/>
    <s v="Contract"/>
    <s v="ANGEL L. GONZALEZ LOPEZ "/>
    <s v="CAROLINA"/>
    <m/>
    <x v="24"/>
    <n v="30000"/>
    <n v="0"/>
    <n v="7430"/>
    <n v="22570"/>
    <s v="Programa de apoyo a empresarios minoritarios"/>
  </r>
  <r>
    <s v="FIE60-2023-2024-0047"/>
    <s v="2024-000376"/>
    <x v="99"/>
    <d v="2023-10-27T00:00:00"/>
    <d v="2025-10-26T00:00:00"/>
    <s v="Contract"/>
    <s v="ARIAS BERRIOS PAIN MANAGEMENT"/>
    <s v="BAYAMON"/>
    <m/>
    <x v="24"/>
    <n v="50000"/>
    <n v="0"/>
    <n v="0"/>
    <n v="50000"/>
    <s v="Programa de apoyo a empresarios minoritarios"/>
  </r>
  <r>
    <s v="FIE60-2023-2024-0047"/>
    <s v="2024-000377"/>
    <x v="99"/>
    <d v="2023-10-27T00:00:00"/>
    <d v="2025-10-26T00:00:00"/>
    <s v="Contract"/>
    <s v="ACS GROUP CORP."/>
    <s v="VEGA ALTA"/>
    <s v="Pymes-CCE Capital Semilla-Impulso"/>
    <x v="24"/>
    <n v="50000"/>
    <n v="0"/>
    <n v="48947.63"/>
    <n v="1052.3700000000026"/>
    <s v="Programa de apoyo a empresarios minoritarios"/>
  </r>
  <r>
    <s v="FIE60-2023-2024-0047"/>
    <s v="2024-000439"/>
    <x v="99"/>
    <d v="2023-10-27T00:00:00"/>
    <d v="2025-10-26T00:00:00"/>
    <s v="Contract"/>
    <s v="NORBERTO RIOS ALICEA"/>
    <s v="LARES"/>
    <s v="Siembra de café, guineo y plátanos"/>
    <x v="24"/>
    <n v="50000"/>
    <n v="0"/>
    <n v="2644.62"/>
    <n v="47355.38"/>
    <s v="Programa de apoyo a empresarios minoritarios"/>
  </r>
  <r>
    <s v="FIE60-2023-2024-0047"/>
    <s v="2024-000402"/>
    <x v="99"/>
    <d v="2023-10-31T00:00:00"/>
    <d v="2025-10-30T00:00:00"/>
    <s v="Contract"/>
    <s v="65TH RENTAL AND SALES CORP."/>
    <s v="COROZAL"/>
    <s v="Renta y venta de equipo"/>
    <x v="24"/>
    <n v="50000"/>
    <n v="0"/>
    <n v="9038.0500000000011"/>
    <n v="40961.949999999997"/>
    <s v="Programa de apoyo a empresarios minoritarios"/>
  </r>
  <r>
    <s v="FIE60-2023-2024-0047"/>
    <s v="2024-000403"/>
    <x v="99"/>
    <d v="2023-10-31T00:00:00"/>
    <d v="2025-10-30T00:00:00"/>
    <s v="Contract"/>
    <s v="CASA CORALES, INC."/>
    <s v="CAGUAS"/>
    <s v="Hogar de cuidado de edad avanzada"/>
    <x v="24"/>
    <n v="50000"/>
    <n v="0"/>
    <n v="39000"/>
    <n v="11000"/>
    <s v="Programa de apoyo a empresarios minoritarios"/>
  </r>
  <r>
    <s v="FIE60-2023-2024-0047"/>
    <s v="2024-000404"/>
    <x v="99"/>
    <d v="2023-10-31T00:00:00"/>
    <d v="2025-10-30T00:00:00"/>
    <s v="Contract"/>
    <s v="JAVIER I. BERRIOS NEGRON"/>
    <s v="BARRANQUITAS"/>
    <s v="Comida criolla"/>
    <x v="24"/>
    <n v="40000"/>
    <n v="0"/>
    <n v="26250"/>
    <n v="13750"/>
    <s v="Programa de apoyo a empresarios minoritarios"/>
  </r>
  <r>
    <s v="FIE60-2023-2024-0047"/>
    <s v="2024-000405"/>
    <x v="99"/>
    <d v="2023-10-31T00:00:00"/>
    <d v="2025-10-30T00:00:00"/>
    <s v="Contract"/>
    <s v="DGLENYS GROUP LLC"/>
    <s v="SAN JUAN"/>
    <s v="Centro de cuidado del cabello, piel y arreglo personal"/>
    <x v="24"/>
    <n v="27000"/>
    <n v="0"/>
    <n v="19929.98"/>
    <n v="7070.02"/>
    <s v="Programa de apoyo a empresarios minoritarios"/>
  </r>
  <r>
    <s v="FIE60-2023-2024-0047"/>
    <s v="2024-000406"/>
    <x v="99"/>
    <d v="2023-10-31T00:00:00"/>
    <d v="2025-10-30T00:00:00"/>
    <s v="Contract"/>
    <s v="DOLCE BELLA BEAUTY SUPPLY"/>
    <s v="YABUCOA"/>
    <s v="Tienda de productos de belleza al detal"/>
    <x v="24"/>
    <n v="20000"/>
    <n v="0"/>
    <n v="1432.86"/>
    <n v="18567.14"/>
    <s v="Programa de apoyo a empresarios minoritarios"/>
  </r>
  <r>
    <s v="FIE60-2023-2024-0047"/>
    <s v="2024-000407"/>
    <x v="99"/>
    <d v="2023-10-31T00:00:00"/>
    <d v="2025-10-30T00:00:00"/>
    <s v="Contract"/>
    <s v="DV INVESTMENTS AND SERVICES LLC"/>
    <s v="SAN JUAN"/>
    <s v="Consultor de servicios (accounting, real estate and management)"/>
    <x v="24"/>
    <n v="45000"/>
    <n v="0"/>
    <n v="0"/>
    <n v="45000"/>
    <s v="Programa de apoyo a empresarios minoritarios"/>
  </r>
  <r>
    <s v="FIE60-2023-2024-0047"/>
    <s v="2024-000408"/>
    <x v="99"/>
    <d v="2023-10-31T00:00:00"/>
    <d v="2025-10-30T00:00:00"/>
    <s v="Contract"/>
    <s v="FRACTAL LLC"/>
    <s v="LUQUILLO"/>
    <s v="Restaurante"/>
    <x v="24"/>
    <n v="50000"/>
    <n v="0"/>
    <n v="13625.5"/>
    <n v="36374.5"/>
    <s v="Programa de apoyo a empresarios minoritarios"/>
  </r>
  <r>
    <s v="FIE60-2023-2024-0047"/>
    <s v="2024-000409"/>
    <x v="99"/>
    <d v="2023-10-31T00:00:00"/>
    <d v="2025-10-30T00:00:00"/>
    <s v="Contract"/>
    <s v="GARAGE MIRANDA BODY SHOP, INC."/>
    <s v="BAYAMON"/>
    <s v="Servicio de hojalatería y pintura para autos"/>
    <x v="24"/>
    <n v="50000"/>
    <n v="0"/>
    <n v="50000"/>
    <n v="0"/>
    <s v="Programa de apoyo a empresarios minoritarios"/>
  </r>
  <r>
    <s v="FIE60-2023-2024-0047"/>
    <s v="2024-000421"/>
    <x v="99"/>
    <d v="2023-10-31T00:00:00"/>
    <d v="2025-10-30T00:00:00"/>
    <s v="Contract"/>
    <s v="JAVIER E. ARIAS BERRIOS"/>
    <s v="BAYAMON"/>
    <s v="Oficina dental"/>
    <x v="24"/>
    <n v="50000"/>
    <n v="0"/>
    <n v="0"/>
    <n v="50000"/>
    <s v="Programa de apoyo a empresarios minoritarios"/>
  </r>
  <r>
    <s v="FIE60-2023-2024-0047"/>
    <s v="2024-000422"/>
    <x v="99"/>
    <d v="2023-10-31T00:00:00"/>
    <d v="2025-10-30T00:00:00"/>
    <s v="Contract"/>
    <s v="JAVIER GONZALEZ SANCHEZ"/>
    <s v="AGUADA"/>
    <s v="Venta de pollos al carbón y otros alimentos"/>
    <x v="24"/>
    <n v="10000"/>
    <n v="0"/>
    <n v="0"/>
    <n v="10000"/>
    <s v="Programa de apoyo a empresarios minoritarios"/>
  </r>
  <r>
    <s v="FIE60-2023-2024-0047"/>
    <s v="2024-000423"/>
    <x v="99"/>
    <d v="2023-10-31T00:00:00"/>
    <d v="2025-10-30T00:00:00"/>
    <s v="Contract"/>
    <s v="JJ ELDERLY SERVICES CORP."/>
    <s v="SAN LORENZO"/>
    <s v="Cuido prolongado de envejecientes"/>
    <x v="24"/>
    <n v="30000"/>
    <n v="0"/>
    <n v="30000"/>
    <n v="0"/>
    <s v="Programa de apoyo a empresarios minoritarios"/>
  </r>
  <r>
    <s v="FIE60-2023-2024-0047"/>
    <s v="2024-000424"/>
    <x v="99"/>
    <d v="2023-10-31T00:00:00"/>
    <d v="2025-10-30T00:00:00"/>
    <s v="Contract"/>
    <s v="LA PASTIZZERIA CORP."/>
    <s v="CANOVANAS"/>
    <s v="Venta de alimentos y bebidas"/>
    <x v="24"/>
    <n v="50000"/>
    <n v="0"/>
    <n v="48957.82"/>
    <n v="1042.1800000000003"/>
    <s v="Programa de apoyo a empresarios minoritarios"/>
  </r>
  <r>
    <s v="FIE60-2023-2024-0047"/>
    <s v="2024-000426"/>
    <x v="99"/>
    <d v="2023-10-31T00:00:00"/>
    <d v="2025-10-30T00:00:00"/>
    <s v="Contract"/>
    <s v="LUKS DERMALOUNGE LLC"/>
    <s v="SAN JUAN"/>
    <s v="Medical spa dedicado al cuidado de la piel, depilaciones faciales por laser, tratamientos e inyecciones"/>
    <x v="24"/>
    <n v="27000"/>
    <n v="0"/>
    <n v="27000"/>
    <n v="0"/>
    <s v="Programa de apoyo a empresarios minoritarios"/>
  </r>
  <r>
    <s v="FIE60-2023-2024-0047"/>
    <s v="2024-000427"/>
    <x v="99"/>
    <d v="2023-10-31T00:00:00"/>
    <d v="2025-10-30T00:00:00"/>
    <s v="Contract"/>
    <s v="MUUAAA DESIGN LLC"/>
    <s v="SAN JUAN"/>
    <s v="Agencia de branding de diseños"/>
    <x v="24"/>
    <n v="36222"/>
    <n v="0"/>
    <n v="36222"/>
    <n v="0"/>
    <s v="Programa de apoyo a empresarios minoritarios"/>
  </r>
  <r>
    <s v="FIE60-2023-2024-0047"/>
    <s v="2024-000428"/>
    <x v="99"/>
    <d v="2023-10-31T00:00:00"/>
    <d v="2025-10-30T00:00:00"/>
    <s v="Contract"/>
    <s v="PANADERIA Y REPOSTERIA INNOVATIVE, INC."/>
    <s v="BARRANQUITAS"/>
    <s v="Panadería y repostería"/>
    <x v="24"/>
    <n v="26230"/>
    <n v="0"/>
    <n v="20164.62"/>
    <n v="6065.380000000001"/>
    <s v="Programa de apoyo a empresarios minoritarios"/>
  </r>
  <r>
    <s v="FIE60-2023-2024-0047"/>
    <s v="2024-000429"/>
    <x v="99"/>
    <d v="2023-10-31T00:00:00"/>
    <d v="2025-10-30T00:00:00"/>
    <s v="Contract"/>
    <s v="PIROVALOS INC"/>
    <s v="TRUJILLO ALTO"/>
    <s v="Restaurante"/>
    <x v="24"/>
    <n v="50000"/>
    <n v="0"/>
    <n v="22372.620000000003"/>
    <n v="27627.379999999997"/>
    <s v="Programa de apoyo a empresarios minoritarios"/>
  </r>
  <r>
    <s v="FIE60-2023-2024-0047"/>
    <s v="2024-000430"/>
    <x v="99"/>
    <d v="2023-10-31T00:00:00"/>
    <d v="2025-10-30T00:00:00"/>
    <s v="Contract"/>
    <s v="PMC RACING, INC."/>
    <s v="SAN SEBASTIAN"/>
    <s v="Venta y fabricación de piezas de motoras"/>
    <x v="24"/>
    <n v="38000"/>
    <n v="0"/>
    <n v="4319.13"/>
    <n v="33680.870000000003"/>
    <s v="Programa de apoyo a empresarios minoritarios"/>
  </r>
  <r>
    <s v="FIE60-2023-2024-0047"/>
    <s v="2024-000431"/>
    <x v="99"/>
    <d v="2023-10-31T00:00:00"/>
    <d v="2025-10-30T00:00:00"/>
    <s v="Contract"/>
    <s v="MODERN CANTINAS LLC"/>
    <s v="SAN JUAN"/>
    <s v="Restaurante de comida mexicana"/>
    <x v="24"/>
    <n v="50000"/>
    <n v="0"/>
    <n v="50000"/>
    <n v="0"/>
    <s v="Programa de apoyo a empresarios minoritarios"/>
  </r>
  <r>
    <s v="FIE60-2023-2024-0047"/>
    <s v="2024-000433"/>
    <x v="99"/>
    <d v="2023-10-31T00:00:00"/>
    <d v="2025-10-30T00:00:00"/>
    <s v="Contract"/>
    <s v="POWERSUN, LLC"/>
    <s v="GUAYAMA"/>
    <s v="Venta, instalación y servicio de sistema de energía solar"/>
    <x v="24"/>
    <n v="50000"/>
    <n v="0"/>
    <n v="0"/>
    <n v="50000"/>
    <s v="Programa de apoyo a empresarios minoritarios"/>
  </r>
  <r>
    <s v="FIE60-2023-2024-0047"/>
    <s v="2024-000435"/>
    <x v="99"/>
    <d v="2023-10-31T00:00:00"/>
    <d v="2025-10-30T00:00:00"/>
    <s v="Contract"/>
    <s v="THE PICKUP PLACE CORP."/>
    <s v="SAN JUAN"/>
    <s v="Tienda a consignación"/>
    <x v="24"/>
    <n v="50000"/>
    <n v="0"/>
    <n v="48334.119999999995"/>
    <n v="1665.8800000000047"/>
    <s v="Programa de apoyo a empresarios minoritarios"/>
  </r>
  <r>
    <s v="FIE60-2023-2024-0047"/>
    <s v="2024-000436"/>
    <x v="99"/>
    <d v="2023-10-31T00:00:00"/>
    <d v="2025-10-30T00:00:00"/>
    <s v="Contract"/>
    <s v="THE PRINTCO. SG LLC"/>
    <s v="SAN GERMAN"/>
    <s v="Empresa dedicada a rótulos e imprenta"/>
    <x v="24"/>
    <n v="50000"/>
    <n v="0"/>
    <n v="49100"/>
    <n v="900"/>
    <s v="Programa de apoyo a empresarios minoritarios"/>
  </r>
  <r>
    <s v="FIE60-2023-2024-0047"/>
    <s v="2024-000437"/>
    <x v="99"/>
    <d v="2023-10-31T00:00:00"/>
    <d v="2025-10-30T00:00:00"/>
    <s v="Contract"/>
    <s v="APOSENTO ALTO"/>
    <s v="DORADO"/>
    <s v="Comercio al detal"/>
    <x v="24"/>
    <n v="10000"/>
    <n v="0"/>
    <n v="0"/>
    <n v="10000"/>
    <s v="Programa de apoyo a empresarios minoritarios"/>
  </r>
  <r>
    <s v="FIE60-2023-2024-0047"/>
    <s v="2024-000438"/>
    <x v="99"/>
    <d v="2023-10-31T00:00:00"/>
    <d v="2025-10-30T00:00:00"/>
    <s v="Contract"/>
    <s v="RUNWAY CENTER ARTS INSTITUTE INC"/>
    <s v="CAROLINA"/>
    <s v="Academia de bellas artes"/>
    <x v="24"/>
    <n v="35000"/>
    <n v="0"/>
    <n v="35000"/>
    <n v="0"/>
    <s v="Programa de apoyo a empresarios minoritarios"/>
  </r>
  <r>
    <s v="FIE60-2023-2024-0047"/>
    <s v="2024-000444"/>
    <x v="99"/>
    <d v="2023-11-03T00:00:00"/>
    <d v="2025-11-02T00:00:00"/>
    <s v="Contract"/>
    <s v="PRO PAINT AUTO"/>
    <s v="VEGA BAJA"/>
    <s v="Ventas, accesorios y pinturas para auto"/>
    <x v="24"/>
    <n v="36000"/>
    <n v="0"/>
    <n v="17685.410000000003"/>
    <n v="18314.589999999997"/>
    <s v="Programa de apoyo a empresarios minoritarios"/>
  </r>
  <r>
    <s v="FIE60-2023-2024-0047"/>
    <s v="2024-000447"/>
    <x v="99"/>
    <d v="2023-11-03T00:00:00"/>
    <d v="2025-11-02T00:00:00"/>
    <s v="Contract"/>
    <s v="FATHER AND SON CONSTRUCTION CORP."/>
    <s v="CAYEY"/>
    <s v="Comercio al detal"/>
    <x v="24"/>
    <n v="30000"/>
    <n v="0"/>
    <n v="27000"/>
    <n v="3000"/>
    <s v="Programa de apoyo a empresarios minoritarios"/>
  </r>
  <r>
    <s v="FIE60-2023-2024-0086"/>
    <s v="2024-000473"/>
    <x v="101"/>
    <d v="2023-11-12T00:00:00"/>
    <d v="2026-11-11T00:00:00"/>
    <s v="Contract"/>
    <s v="COLONIA MEADERY LLC"/>
    <s v="SAN SEBASTIAN"/>
    <s v="Vino fermentado de mosto de miel"/>
    <x v="10"/>
    <n v="103770"/>
    <n v="0"/>
    <n v="0"/>
    <n v="103770"/>
    <n v="5.23"/>
  </r>
  <r>
    <s v="FIE60-2023-2024-0105"/>
    <s v="2024-000456"/>
    <x v="101"/>
    <d v="2023-11-13T00:00:00"/>
    <d v="2028-11-12T00:00:00"/>
    <s v="Contract"/>
    <s v="STRUCTURAL STEEL MANUFACTURING, INC."/>
    <s v="BAYAMON"/>
    <s v="Acero estructural y piezas"/>
    <x v="10"/>
    <n v="2500000"/>
    <n v="0"/>
    <n v="387284.64"/>
    <n v="2112715.36"/>
    <n v="1.1499999999999999"/>
  </r>
  <r>
    <s v="FIE60-2023-2024-0047"/>
    <s v="2024-000462"/>
    <x v="99"/>
    <d v="2023-11-15T00:00:00"/>
    <d v="2025-11-14T00:00:00"/>
    <s v="Contract"/>
    <s v="HABITAT DISENOS CREATIVOS, INC."/>
    <s v="SAN JUAN"/>
    <s v="Comercio al detal"/>
    <x v="24"/>
    <n v="25000"/>
    <n v="0"/>
    <n v="25000"/>
    <n v="0"/>
    <s v="Programa de apoyo a empresarios minoritarios"/>
  </r>
  <r>
    <s v="FIE60-2023-2024-0044"/>
    <s v="2024-000469"/>
    <x v="99"/>
    <d v="2023-11-16T00:00:00"/>
    <d v="2024-06-30T00:00:00"/>
    <s v="Contract"/>
    <s v="CENTRO CULTURAL JAYUYANO, INC."/>
    <s v="JAYUYA"/>
    <s v="53 festival nacional indígena 2023"/>
    <x v="15"/>
    <n v="3300"/>
    <n v="0"/>
    <n v="3300"/>
    <n v="0"/>
    <s v="Programa de apoyo a empresarios minoritarios"/>
  </r>
  <r>
    <s v="FIE60-2023-2024-0085"/>
    <s v="2024-000472"/>
    <x v="101"/>
    <d v="2023-11-16T00:00:00"/>
    <d v="2026-11-15T00:00:00"/>
    <s v="Contract"/>
    <s v="COLONIA MEADERY LLC"/>
    <s v="SAN SEBASTIAN"/>
    <s v="Vino fermentado de mosto de miel"/>
    <x v="8"/>
    <n v="20000"/>
    <n v="0"/>
    <n v="0"/>
    <n v="20000"/>
    <n v="5.23"/>
  </r>
  <r>
    <s v="FIE60-2023-2024-0047"/>
    <s v="2024-000497"/>
    <x v="99"/>
    <d v="2023-11-27T00:00:00"/>
    <d v="2025-11-26T00:00:00"/>
    <s v="Contract"/>
    <s v="ANTONIO FIGUEROA BELTRAN"/>
    <s v="CAROLINA"/>
    <s v="Servicio de box de crossfit"/>
    <x v="24"/>
    <n v="20000"/>
    <n v="0"/>
    <n v="19085.8"/>
    <n v="914.20000000000073"/>
    <s v="Programa de apoyo a empresarios minoritarios"/>
  </r>
  <r>
    <s v="FIE60-2023-2024-0047"/>
    <s v="2024-000498"/>
    <x v="99"/>
    <d v="2023-11-27T00:00:00"/>
    <d v="2025-11-26T00:00:00"/>
    <s v="Contract"/>
    <s v="ARNALDO RIVERA CABRERA"/>
    <s v="BAYAMON"/>
    <s v="Servicio de exámenes visuales, espejuelos, gafas de sol, lentes de contacto, clínicas visuales"/>
    <x v="24"/>
    <n v="20000"/>
    <n v="0"/>
    <n v="16644.98"/>
    <n v="3355.0200000000004"/>
    <s v="Programa de apoyo a empresarios minoritarios"/>
  </r>
  <r>
    <s v="FIE60-2023-2024-0047"/>
    <s v="2024-000499"/>
    <x v="99"/>
    <d v="2023-11-27T00:00:00"/>
    <d v="2025-11-26T00:00:00"/>
    <s v="Contract"/>
    <s v="MERCADO MANGUAL, CARMEN /MAR ADENTRO"/>
    <s v="GUANICA"/>
    <s v="Bebidas y alimentos"/>
    <x v="24"/>
    <n v="25000"/>
    <n v="0"/>
    <n v="13311.76"/>
    <n v="11688.24"/>
    <s v="Programa de apoyo a empresarios minoritarios"/>
  </r>
  <r>
    <s v="FIE60-2023-2024-0047"/>
    <s v="2024-000500"/>
    <x v="99"/>
    <d v="2023-11-27T00:00:00"/>
    <d v="2025-11-26T00:00:00"/>
    <s v="Contract"/>
    <s v="CLINICA TERAPEUTICA JERINGONZA, INC."/>
    <s v="CAMUY"/>
    <s v="Clínica terapéutica"/>
    <x v="24"/>
    <n v="35000"/>
    <n v="0"/>
    <n v="34902.65"/>
    <n v="97.349999999998545"/>
    <s v="Programa de apoyo a empresarios minoritarios"/>
  </r>
  <r>
    <s v="FIE60-2023-2024-0047"/>
    <s v="2024-000501"/>
    <x v="99"/>
    <d v="2023-11-27T00:00:00"/>
    <d v="2025-11-26T00:00:00"/>
    <s v="Contract"/>
    <s v="CONSTRUCCIONES POLANCO, INC."/>
    <s v="SAN JUAN"/>
    <s v="Servicio de construcción en general tanto a individuo como empresas comerciales"/>
    <x v="24"/>
    <n v="20000"/>
    <n v="0"/>
    <n v="0"/>
    <n v="20000"/>
    <s v="Programa de apoyo a empresarios minoritarios"/>
  </r>
  <r>
    <s v="FIE60-2023-2024-0047"/>
    <s v="2024-000502"/>
    <x v="99"/>
    <d v="2023-11-27T00:00:00"/>
    <d v="2025-11-26T00:00:00"/>
    <s v="Contract"/>
    <s v="DENTAL DESIGNERS, PSC"/>
    <s v="PONCE "/>
    <s v="Servicio dental"/>
    <x v="24"/>
    <n v="30000"/>
    <n v="0"/>
    <n v="30000"/>
    <n v="0"/>
    <s v="Programa de apoyo a empresarios minoritarios"/>
  </r>
  <r>
    <s v="FIE60-2023-2024-0047"/>
    <s v="2024-000503"/>
    <x v="99"/>
    <d v="2023-11-27T00:00:00"/>
    <d v="2025-11-26T00:00:00"/>
    <s v="Contract"/>
    <s v="ECQ SERVICES CORP."/>
    <s v="PONCE "/>
    <s v="Representación de reclamantes en casos de seguro social por incapacidad"/>
    <x v="24"/>
    <n v="15000"/>
    <n v="0"/>
    <n v="9500.9500000000007"/>
    <n v="5499.0499999999993"/>
    <s v="Programa de apoyo a empresarios minoritarios"/>
  </r>
  <r>
    <s v="FIE60-2023-2024-0047"/>
    <s v="2024-000504"/>
    <x v="99"/>
    <d v="2023-11-27T00:00:00"/>
    <d v="2025-11-26T00:00:00"/>
    <s v="Contract"/>
    <s v="EMPRESAS FCS, INC."/>
    <s v="HATILLO"/>
    <s v="Centro de entrenamiento físico personalizado"/>
    <x v="24"/>
    <n v="22000"/>
    <n v="0"/>
    <n v="22000"/>
    <n v="0"/>
    <s v="Programa de apoyo a empresarios minoritarios"/>
  </r>
  <r>
    <s v="FIE60-2023-2024-0047"/>
    <s v="2024-000505"/>
    <x v="99"/>
    <d v="2023-11-27T00:00:00"/>
    <d v="2025-11-26T00:00:00"/>
    <s v="Contract"/>
    <s v="HACIENDA RAMIREZ, INC."/>
    <s v="SAN SEBASTIAN"/>
    <s v="Manufactura"/>
    <x v="24"/>
    <n v="30000"/>
    <n v="0"/>
    <n v="0"/>
    <n v="30000"/>
    <s v="Programa de apoyo a empresarios minoritarios"/>
  </r>
  <r>
    <s v="FIE60-2023-2024-0047"/>
    <s v="2024-000506"/>
    <x v="99"/>
    <d v="2023-11-27T00:00:00"/>
    <d v="2025-11-26T00:00:00"/>
    <s v="Contract"/>
    <s v="JOSE ABRAHAN VIDAL GORDILLO"/>
    <s v="BAYAMON"/>
    <s v="Servicio de barbería"/>
    <x v="24"/>
    <n v="10000"/>
    <n v="0"/>
    <n v="9443"/>
    <n v="557"/>
    <s v="Programa de apoyo a empresarios minoritarios"/>
  </r>
  <r>
    <s v="FIE60-2023-2024-0047"/>
    <s v="2024-000507"/>
    <x v="99"/>
    <d v="2023-11-27T00:00:00"/>
    <d v="2025-11-26T00:00:00"/>
    <s v="Contract"/>
    <s v="SOFRITO SOL JAYUYANO"/>
    <s v="JAYUYA"/>
    <s v="Manufactura"/>
    <x v="24"/>
    <n v="20000"/>
    <n v="0"/>
    <n v="6015"/>
    <n v="13985"/>
    <s v="Programa de apoyo a empresarios minoritarios"/>
  </r>
  <r>
    <s v="FIE60-2023-2024-0047"/>
    <s v="2024-000508"/>
    <x v="99"/>
    <d v="2023-11-27T00:00:00"/>
    <d v="2025-11-26T00:00:00"/>
    <s v="Contract"/>
    <s v="LINK PARTNERS GROUP, INC."/>
    <s v="CIALES"/>
    <s v="Comerciante mayorista de suministros y equipos médicos, dentales y para uso de hospitales con un segmento automotriz de venta al detal de productos para vehículos"/>
    <x v="24"/>
    <n v="30000"/>
    <n v="0"/>
    <n v="22500"/>
    <n v="7500"/>
    <s v="Programa de apoyo a empresarios minoritarios"/>
  </r>
  <r>
    <s v="FIE60-2023-2024-0047"/>
    <s v="2024-000509"/>
    <x v="99"/>
    <d v="2023-11-27T00:00:00"/>
    <d v="2025-11-26T00:00:00"/>
    <s v="Contract"/>
    <s v="MARIANA M. PLAZA CORTES"/>
    <s v="SAN JUAN"/>
    <s v="Bebidas y alimentos"/>
    <x v="24"/>
    <n v="30000"/>
    <n v="0"/>
    <n v="19905.370000000003"/>
    <n v="10094.629999999997"/>
    <s v="Programa de apoyo a empresarios minoritarios"/>
  </r>
  <r>
    <s v="FIE60-2023-2024-0047"/>
    <s v="2024-000510"/>
    <x v="99"/>
    <d v="2023-11-27T00:00:00"/>
    <d v="2025-11-26T00:00:00"/>
    <s v="Contract"/>
    <s v="NEURO SPORTS CENTER LLC"/>
    <s v="SAN JUAN"/>
    <s v="Servicio de entrenamiento neurocognitivo, terapia cognitiva y mental"/>
    <x v="24"/>
    <n v="20000"/>
    <n v="0"/>
    <n v="0"/>
    <n v="20000"/>
    <s v="Programa de apoyo a empresarios minoritarios"/>
  </r>
  <r>
    <s v="FIE60-2023-2024-0047"/>
    <s v="2024-000511"/>
    <x v="99"/>
    <d v="2023-11-27T00:00:00"/>
    <d v="2025-11-26T00:00:00"/>
    <s v="Contract"/>
    <s v="NEUROSLEEP PUERTO RICO LLC"/>
    <s v="AGUADILLA"/>
    <s v="Servicio de evaluación y manejo de pacientes con problemas neurológicos y condiciones de sueño"/>
    <x v="24"/>
    <n v="40000"/>
    <n v="0"/>
    <n v="0"/>
    <n v="40000"/>
    <s v="Programa de apoyo a empresarios minoritarios"/>
  </r>
  <r>
    <s v="FIE60-2023-2024-0047"/>
    <s v="2024-000512"/>
    <x v="99"/>
    <d v="2023-11-27T00:00:00"/>
    <d v="2025-11-26T00:00:00"/>
    <s v="Contract"/>
    <s v="SANTA MARIA MENDEZ CPA LLC"/>
    <s v="SAN JUAN"/>
    <s v="Firma local de contabilidad, auditoría e impuestos"/>
    <x v="24"/>
    <n v="20000"/>
    <n v="0"/>
    <n v="16618.240000000002"/>
    <n v="3381.7599999999984"/>
    <s v="Programa de apoyo a empresarios minoritarios"/>
  </r>
  <r>
    <s v="FIE60-2023-2024-0039"/>
    <s v="2024-000482"/>
    <x v="96"/>
    <d v="2023-11-28T00:00:00"/>
    <d v="2028-11-27T00:00:00"/>
    <s v="Contract"/>
    <s v="CASA-I, LLC"/>
    <s v="CAGUAS"/>
    <s v="Manufactura de casas prefabricadas, modulares y de hormigón resistentes a desastres naturales "/>
    <x v="8"/>
    <n v="30750"/>
    <n v="0"/>
    <n v="0"/>
    <n v="30750"/>
    <n v="3.29"/>
  </r>
  <r>
    <s v="FIE60-2023-2024-0040"/>
    <s v="2024-000483"/>
    <x v="96"/>
    <d v="2023-11-28T00:00:00"/>
    <d v="2028-11-27T00:00:00"/>
    <s v="Contract"/>
    <s v="CASA-I, LLC"/>
    <s v="CAGUAS"/>
    <s v="Manufactura de casas prefabricadas, modulares y de hormigón resistentes a desastres naturales "/>
    <x v="10"/>
    <n v="300000"/>
    <n v="0"/>
    <n v="0"/>
    <n v="300000"/>
    <n v="3.29"/>
  </r>
  <r>
    <s v="FIE60-2023-2024-0047"/>
    <s v="2024-000513"/>
    <x v="99"/>
    <d v="2023-11-28T00:00:00"/>
    <d v="2025-11-27T00:00:00"/>
    <s v="Contract"/>
    <s v="BRENDALIZ M CHAPARRO RODRÍGUEZ H/N/C/ RODRÍGUEZ BCR TAX SERVICES"/>
    <s v="AGUADA"/>
    <s v="Pymes-CCE Capital Semilla-Impulso"/>
    <x v="24"/>
    <n v="24000"/>
    <n v="0"/>
    <n v="12576.810000000001"/>
    <n v="11423.189999999999"/>
    <s v="Programa de apoyo a empresarios minoritarios"/>
  </r>
  <r>
    <s v="FIE60-2023-2024-0047"/>
    <s v="2024-000515"/>
    <x v="99"/>
    <d v="2023-11-28T00:00:00"/>
    <d v="2025-11-27T00:00:00"/>
    <s v="Contract"/>
    <s v="VALENTIN ROSARIO MARQUEZ / WIN BAKERY"/>
    <s v="SAN LORENZO"/>
    <s v="Bebidas y alimentos"/>
    <x v="24"/>
    <n v="20000"/>
    <n v="0"/>
    <n v="14235.36"/>
    <n v="5764.6399999999994"/>
    <s v="Programa de apoyo a empresarios minoritarios"/>
  </r>
  <r>
    <s v="FIE60-2023-2024-0047"/>
    <s v="2024-000517"/>
    <x v="99"/>
    <d v="2023-11-28T00:00:00"/>
    <d v="2025-11-27T00:00:00"/>
    <s v="Contract"/>
    <s v="VIVIAN M. LLORET HERNANDEZ"/>
    <s v="AGUADILLA"/>
    <s v="Bebidas y alimentos"/>
    <x v="24"/>
    <n v="10000"/>
    <n v="0"/>
    <n v="8500"/>
    <n v="1500"/>
    <s v="Programa de apoyo a empresarios minoritarios"/>
  </r>
  <r>
    <s v="FIE60-2023-2024-0047"/>
    <s v="2024-000518"/>
    <x v="99"/>
    <d v="2023-11-28T00:00:00"/>
    <d v="2025-11-27T00:00:00"/>
    <s v="Contract"/>
    <s v="ESSENZE, INC."/>
    <s v="LARES"/>
    <s v="Comercio al detal"/>
    <x v="24"/>
    <n v="15000"/>
    <n v="0"/>
    <n v="13582.29"/>
    <n v="1417.7099999999991"/>
    <s v="Programa de apoyo a empresarios minoritarios"/>
  </r>
  <r>
    <s v="FIE60-2023-2024-0047"/>
    <s v="2024-000519"/>
    <x v="99"/>
    <d v="2023-11-28T00:00:00"/>
    <d v="2025-11-27T00:00:00"/>
    <s v="Contract"/>
    <s v="KAIROS TIRE CENTER, INC."/>
    <s v="LAS PIEDRAS"/>
    <s v="Comercio al detal"/>
    <x v="24"/>
    <n v="35000"/>
    <n v="0"/>
    <n v="0"/>
    <n v="35000"/>
    <s v="Programa de apoyo a empresarios minoritarios"/>
  </r>
  <r>
    <s v="FIE60-2023-2024-0047"/>
    <s v="2024-000521"/>
    <x v="99"/>
    <d v="2023-11-28T00:00:00"/>
    <d v="2025-11-27T00:00:00"/>
    <s v="Contract"/>
    <s v="MELVIN I. MARCIAL TERRON"/>
    <s v="CAMUY"/>
    <s v="Comercio al detal"/>
    <x v="24"/>
    <n v="50000"/>
    <n v="0"/>
    <n v="18081.439999999999"/>
    <n v="31918.560000000001"/>
    <s v="Programa de apoyo a empresarios minoritarios"/>
  </r>
  <r>
    <s v="FIE60-2023-2024-0047"/>
    <s v="2024-000522"/>
    <x v="99"/>
    <d v="2023-11-28T00:00:00"/>
    <d v="2025-11-27T00:00:00"/>
    <s v="Contract"/>
    <s v="PHARMA XPRESS LLC"/>
    <s v="SAN JUAN"/>
    <s v="Comercio al detal"/>
    <x v="24"/>
    <n v="50000"/>
    <n v="0"/>
    <n v="8788.9"/>
    <n v="41211.1"/>
    <s v="Programa de apoyo a empresarios minoritarios"/>
  </r>
  <r>
    <s v="FIE60-2023-2024-0047"/>
    <s v="2024-000523"/>
    <x v="99"/>
    <d v="2023-11-28T00:00:00"/>
    <d v="2025-11-27T00:00:00"/>
    <s v="Contract"/>
    <s v="RAMIREZ RIVERA FARM, INC."/>
    <s v="SAN SEBASTIAN"/>
    <s v="Bebidas y alimentos"/>
    <x v="24"/>
    <n v="30000"/>
    <n v="0"/>
    <n v="30000"/>
    <n v="0"/>
    <s v="Programa de apoyo a empresarios minoritarios"/>
  </r>
  <r>
    <s v="FIE60-2023-2024-0047"/>
    <s v="2024-000524"/>
    <x v="99"/>
    <d v="2023-11-28T00:00:00"/>
    <d v="2025-11-27T00:00:00"/>
    <s v="Contract"/>
    <s v="SUGAR IN A BOX LLC / THE NUTTY KITCHEN"/>
    <s v="SAN JUAN"/>
    <s v="Bebidas y alimentos"/>
    <x v="24"/>
    <n v="50000"/>
    <n v="0"/>
    <n v="27146.63"/>
    <n v="22853.37"/>
    <s v="Programa de apoyo a empresarios minoritarios"/>
  </r>
  <r>
    <s v="FIE60-2023-2024-0047"/>
    <s v="2024-000525"/>
    <x v="99"/>
    <d v="2023-11-28T00:00:00"/>
    <d v="2025-11-27T00:00:00"/>
    <s v="Contract"/>
    <s v="MARIANA CRUZ MANZANO"/>
    <s v="SAN JUAN"/>
    <m/>
    <x v="24"/>
    <n v="48000"/>
    <n v="0"/>
    <n v="0"/>
    <n v="48000"/>
    <s v="Programa de apoyo a empresarios minoritarios"/>
  </r>
  <r>
    <s v="FIE60-2023-2024-0047"/>
    <s v="2024-000526"/>
    <x v="99"/>
    <d v="2023-11-28T00:00:00"/>
    <d v="2025-11-27T00:00:00"/>
    <s v="Contract"/>
    <s v="ROSAURA SANTIAGO RUIZ/YANGCHI THERAPHY"/>
    <s v="SAN GERMAN"/>
    <s v="Otros"/>
    <x v="24"/>
    <n v="12000"/>
    <n v="0"/>
    <n v="339.94"/>
    <n v="11660.06"/>
    <s v="Programa de apoyo a empresarios minoritarios"/>
  </r>
  <r>
    <s v="FIE60-2023-2024-0146"/>
    <s v="2024-000542"/>
    <x v="103"/>
    <d v="2023-11-30T00:00:00"/>
    <d v="2028-11-29T00:00:00"/>
    <s v="Contract"/>
    <s v="ABBVIE BIOTECHNOLOGY, LTD"/>
    <s v="BARCELONETA"/>
    <s v="Preparaciones farmacéuticas"/>
    <x v="10"/>
    <n v="14310000"/>
    <n v="0"/>
    <n v="2862000"/>
    <n v="11448000"/>
    <n v="1411.32"/>
  </r>
  <r>
    <s v="FIE60-2023-2024-0043"/>
    <s v="2024-000537"/>
    <x v="99"/>
    <d v="2023-12-01T00:00:00"/>
    <d v="2026-11-30T00:00:00"/>
    <s v="Contract"/>
    <s v="ELAINE J. ROSARIO ALBINO"/>
    <s v="BAYAMON"/>
    <s v="Renglón de vidrio"/>
    <x v="15"/>
    <n v="983.98"/>
    <n v="0"/>
    <n v="908.59"/>
    <n v="75.389999999999986"/>
    <s v="Programa de apoyo a empresarios minoritarios"/>
  </r>
  <r>
    <s v="FIE60-2023-2024-0131"/>
    <s v="2024-000558"/>
    <x v="99"/>
    <d v="2023-12-01T00:00:00"/>
    <d v="2024-11-30T00:00:00"/>
    <s v="Contract"/>
    <s v="ASOCIACION HECHO EN PUERTO RICO, INC."/>
    <s v="SAN JUAN"/>
    <s v="Visibilización de productos, exportación en línea y adiestramientos para empresarios locales"/>
    <x v="12"/>
    <n v="70000"/>
    <n v="0"/>
    <n v="70000"/>
    <n v="0"/>
    <s v="Programa de apoyo a empresarios minoritarios"/>
  </r>
  <r>
    <s v="FIE60-2023-2024-0090"/>
    <s v="2024-000543"/>
    <x v="101"/>
    <d v="2023-12-04T00:00:00"/>
    <d v="2028-12-03T00:00:00"/>
    <s v="Contract"/>
    <s v="KANDOR MANUFACTURING, INC."/>
    <s v="ARECIBO"/>
    <s v="Corte de todos los componentes y manufactura de &quot;army men long sleeve dress shirt&quot;"/>
    <x v="10"/>
    <n v="137500"/>
    <n v="0"/>
    <n v="0"/>
    <n v="137500"/>
    <n v="3.12"/>
  </r>
  <r>
    <s v="FIE60-2023-2024-0089"/>
    <s v="2024-000544"/>
    <x v="101"/>
    <d v="2023-12-04T00:00:00"/>
    <d v="2026-12-03T00:00:00"/>
    <s v="Contract"/>
    <s v="KANDOR MANUFACTURING, INC."/>
    <s v="ARECIBO"/>
    <s v="Corte de todos los componentes y manufactura de &quot;army men long sleeve dress shirt&quot;"/>
    <x v="8"/>
    <n v="48000"/>
    <n v="0"/>
    <n v="16000"/>
    <n v="32000"/>
    <n v="3.12"/>
  </r>
  <r>
    <s v="FIE60-2023-2024-0091"/>
    <s v="2024-000545"/>
    <x v="101"/>
    <d v="2023-12-04T00:00:00"/>
    <d v="2026-12-03T00:00:00"/>
    <s v="Contract"/>
    <s v="KANDOR MANUFACTURING, INC."/>
    <s v="ARECIBO"/>
    <s v="Corte de todos los componentes y manufactura del &quot; army white v-neck undershirt'"/>
    <x v="8"/>
    <n v="22500"/>
    <n v="0"/>
    <n v="7500"/>
    <n v="15000"/>
    <n v="3.55"/>
  </r>
  <r>
    <s v="FIE60-2023-2024-0092"/>
    <s v="2024-000546"/>
    <x v="101"/>
    <d v="2023-12-04T00:00:00"/>
    <d v="2028-12-03T00:00:00"/>
    <s v="Contract"/>
    <s v="KANDOR MANUFACTURING, INC."/>
    <s v="ARECIBO"/>
    <s v="Corte de todos los componentes y manufactura del &quot; army white v-neck undershirt'"/>
    <x v="10"/>
    <n v="60000"/>
    <n v="0"/>
    <n v="0"/>
    <n v="60000"/>
    <n v="3.55"/>
  </r>
  <r>
    <s v="FIE60-2023-2024-0094"/>
    <s v="2024-000547"/>
    <x v="101"/>
    <d v="2023-12-04T00:00:00"/>
    <d v="2028-12-03T00:00:00"/>
    <s v="Contract"/>
    <s v="KANDOR MANUFACTURING, INC."/>
    <s v="ARECIBO"/>
    <s v="Corte de todos los componentes y manufactura de &quot;army white &amp; blue crew-neck undershirt&quot;"/>
    <x v="10"/>
    <n v="90000"/>
    <n v="0"/>
    <n v="0"/>
    <n v="90000"/>
    <n v="4.04"/>
  </r>
  <r>
    <s v="FIE60-2023-2024-0093"/>
    <s v="2024-000548"/>
    <x v="101"/>
    <d v="2023-12-04T00:00:00"/>
    <d v="2026-12-03T00:00:00"/>
    <s v="Contract"/>
    <s v="KANDOR MANUFACTURING, INC."/>
    <s v="ARECIBO"/>
    <s v="Corte de todos los componentes y manufactura de &quot;army white &amp; blue crew-neck undershirt&quot;"/>
    <x v="8"/>
    <n v="37500"/>
    <n v="0"/>
    <n v="12500"/>
    <n v="25000"/>
    <n v="4.04"/>
  </r>
  <r>
    <s v="FIE60-2023-2024-0047"/>
    <s v="2024-000553"/>
    <x v="99"/>
    <d v="2023-12-04T00:00:00"/>
    <d v="2025-12-03T00:00:00"/>
    <s v="Contract"/>
    <s v="RULYS PIZZA, INC."/>
    <s v="OROCOVIS"/>
    <s v="Bebidas y alimentos"/>
    <x v="24"/>
    <n v="30000"/>
    <n v="0"/>
    <n v="29328"/>
    <n v="672"/>
    <s v="Programa de apoyo a empresarios minoritarios"/>
  </r>
  <r>
    <s v="FIE60-2023-2024-0043"/>
    <s v="2024-000554"/>
    <x v="99"/>
    <d v="2023-12-04T00:00:00"/>
    <d v="2026-12-03T00:00:00"/>
    <s v="Contract"/>
    <s v="ORLANDO HERNANDEZ CUEVAS"/>
    <s v="QUEBRADILLAS"/>
    <s v="Renglón de madera"/>
    <x v="15"/>
    <n v="876.82"/>
    <n v="0"/>
    <n v="693.91"/>
    <n v="182.91000000000008"/>
    <s v="Programa de apoyo a empresarios minoritarios"/>
  </r>
  <r>
    <s v="FIE60-2023-2024-0047"/>
    <s v="2024-000556"/>
    <x v="99"/>
    <d v="2023-12-04T00:00:00"/>
    <d v="2025-12-03T00:00:00"/>
    <s v="Contract"/>
    <s v="CR SUB ISLAND CORP."/>
    <s v="MANATI"/>
    <s v="Restaurantes subway "/>
    <x v="24"/>
    <n v="20000"/>
    <n v="0"/>
    <n v="17011.54"/>
    <n v="2988.4599999999991"/>
    <s v="Programa de apoyo a empresarios minoritarios"/>
  </r>
  <r>
    <s v="FIE60-2023-2024-0078"/>
    <s v="2024-000564"/>
    <x v="83"/>
    <d v="2023-12-05T00:00:00"/>
    <d v="2028-12-04T00:00:00"/>
    <s v="Contract"/>
    <s v="JETBLUE AIRWAYS CORPORATION"/>
    <s v="SAN JUAN"/>
    <s v="Instalación de facilidades de mantenimiento de la línea de jetblue"/>
    <x v="8"/>
    <n v="75000"/>
    <n v="0"/>
    <n v="0"/>
    <n v="75000"/>
    <n v="6817.18"/>
  </r>
  <r>
    <s v="FIE60-2023-2024-0079"/>
    <s v="2024-000565"/>
    <x v="83"/>
    <d v="2023-12-05T00:00:00"/>
    <d v="2028-12-04T00:00:00"/>
    <s v="Contract"/>
    <s v="JETBLUE AIRWAYS CORPORATION"/>
    <s v="SAN JUAN"/>
    <m/>
    <x v="9"/>
    <n v="750000"/>
    <n v="0"/>
    <n v="0"/>
    <n v="750000"/>
    <n v="6817.18"/>
  </r>
  <r>
    <s v="FIE60-2023-2024-0054"/>
    <s v="2024-000562"/>
    <x v="94"/>
    <d v="2023-12-11T00:00:00"/>
    <d v="2028-12-10T00:00:00"/>
    <s v="Contract"/>
    <s v="COOPERVISION MANUFACTURING PUERTO RICO LLC"/>
    <s v="JUANA DIAZ"/>
    <s v="Lentes de contacto blandos "/>
    <x v="8"/>
    <n v="1087500"/>
    <n v="0"/>
    <n v="440000"/>
    <n v="647500"/>
    <n v="2.0099999999999998"/>
  </r>
  <r>
    <s v="FIE60-2023-2024-0055"/>
    <s v="2024-000563"/>
    <x v="94"/>
    <d v="2023-12-11T00:00:00"/>
    <d v="2028-12-10T00:00:00"/>
    <s v="Contract"/>
    <s v="COOPERVISION MANUFACTURING PUERTO RICO LLC"/>
    <s v="JUANA DIAZ"/>
    <s v="Lentes de contacto blandos "/>
    <x v="10"/>
    <n v="25000000"/>
    <n v="0"/>
    <n v="0"/>
    <n v="25000000"/>
    <n v="2.0099999999999998"/>
  </r>
  <r>
    <s v="FIE60-2023-2024-0072"/>
    <s v="2024-000567"/>
    <x v="94"/>
    <d v="2023-12-12T00:00:00"/>
    <d v="2026-12-11T00:00:00"/>
    <s v="Contract"/>
    <s v="PROPPER INTERNATIONAL, INC."/>
    <s v="CABO ROJO"/>
    <s v="Manufactura del &quot;United States Marine Corps Suspension Components&quot; para el Departmento de la Defensa de EUA "/>
    <x v="8"/>
    <n v="140000"/>
    <n v="0"/>
    <n v="0"/>
    <n v="140000"/>
    <n v="8.36"/>
  </r>
  <r>
    <s v="FIE60-2023-2024-0073"/>
    <s v="2024-000568"/>
    <x v="94"/>
    <d v="2023-12-12T00:00:00"/>
    <d v="2026-12-11T00:00:00"/>
    <s v="Cancelled"/>
    <s v="PROPPER INTERNATIONAL, INC."/>
    <s v="HATILLO"/>
    <s v="Manufactura del &quot;MOLLE 4000 Rucksack Set Components&quot; bajo contratación con &quot;USA Department of Defense (DoD)&quot;"/>
    <x v="8"/>
    <n v="100000"/>
    <n v="33333"/>
    <n v="66667"/>
    <n v="0"/>
    <s v="839%.  Balance cancelado producto culminó 5-30-2025"/>
  </r>
  <r>
    <s v="FIE60-2023-2024-0071"/>
    <s v="2024-000569"/>
    <x v="94"/>
    <d v="2023-12-12T00:00:00"/>
    <d v="2026-12-11T00:00:00"/>
    <s v="Cancelled"/>
    <s v="PROPPER INTERNATIONAL, INC."/>
    <s v="LAS MARIAS"/>
    <s v="Manufactura de los componentes utilizados en la manufactura del &quot;MOLLE 4000 Ruck Sack&quot; bajo contrato con el Departamento de la Defensa de EUA"/>
    <x v="8"/>
    <n v="150000"/>
    <n v="50000"/>
    <n v="100000"/>
    <n v="0"/>
    <s v="649%.  Finanzas canceló al 5-30-2025 producto culminó."/>
  </r>
  <r>
    <s v="FIE60-2023-2024-0044"/>
    <s v="2024-000570"/>
    <x v="99"/>
    <d v="2023-12-12T00:00:00"/>
    <d v="2024-06-30T00:00:00"/>
    <s v="Cancelled"/>
    <s v="CENTRO CULTURAL DR MANUEL QUEVEDO BAEZ"/>
    <s v="SABANA GRANDE"/>
    <s v="44 Festival del Petate 2023"/>
    <x v="15"/>
    <n v="4910"/>
    <n v="49"/>
    <n v="4861"/>
    <n v="0"/>
    <s v="Programa de apoyo a empresarios minoritarios.  Finanzas solicita cancelar balance al 4-10-2025"/>
  </r>
  <r>
    <s v="FIE60-2023-2024-0047"/>
    <s v="2024-000566"/>
    <x v="99"/>
    <d v="2023-12-13T00:00:00"/>
    <d v="2025-12-12T00:00:00"/>
    <s v="Contract"/>
    <s v="WEST SIDE DESTINATION, LLC"/>
    <s v="SAN JUAN"/>
    <s v="Turismo"/>
    <x v="24"/>
    <n v="30000"/>
    <n v="0"/>
    <n v="0"/>
    <n v="30000"/>
    <s v="Programa de apoyo a empresarios minoritarios"/>
  </r>
  <r>
    <s v="FIE60-2023-2024-0043"/>
    <s v="2024-000572"/>
    <x v="99"/>
    <d v="2023-12-14T00:00:00"/>
    <d v="2026-12-13T00:00:00"/>
    <s v="Contract"/>
    <s v="DANIELA ROSELLO LEDESMA"/>
    <s v="GUAYNABO"/>
    <s v="Renglón de barro"/>
    <x v="15"/>
    <n v="897"/>
    <n v="0"/>
    <n v="897"/>
    <n v="0"/>
    <s v="Programa de apoyo a empresarios minoritarios"/>
  </r>
  <r>
    <s v="FIE60-2023-2024-0002"/>
    <s v="2024-000586"/>
    <x v="83"/>
    <d v="2023-12-15T00:00:00"/>
    <d v="2026-12-14T00:00:00"/>
    <s v="Contract"/>
    <s v="MARQUES WAREN, INC."/>
    <s v="HUMACAO"/>
    <s v="Manufactura de productos para mejoras en el hogar (topes gabinetes en diferentes materiales, tormenteras de diferentes tipos y otros productos relacionados)"/>
    <x v="8"/>
    <n v="4687.5"/>
    <n v="0"/>
    <n v="0"/>
    <n v="4687.5"/>
    <n v="8.8000000000000007"/>
  </r>
  <r>
    <s v="FIE60-2023-2024-0003"/>
    <s v="2024-000587"/>
    <x v="83"/>
    <d v="2023-12-15T00:00:00"/>
    <d v="2028-12-14T00:00:00"/>
    <s v="Contract"/>
    <s v="MARQUES WAREN, INC."/>
    <s v="HUMACAO"/>
    <s v="Manufactura de productos para mejoras en el hogar (topes gabinetes en diferentes materiales, tormenteras de diferentes tipos y otros productos relacionados)"/>
    <x v="10"/>
    <n v="84742"/>
    <n v="0"/>
    <n v="42731"/>
    <n v="42011"/>
    <n v="8.8000000000000007"/>
  </r>
  <r>
    <s v="FIE60-2023-2024-0047"/>
    <s v="2024-000591"/>
    <x v="99"/>
    <d v="2023-12-19T00:00:00"/>
    <d v="2025-12-18T00:00:00"/>
    <s v="Contract"/>
    <s v="RINA YOCASTA GARCIA-ACOSTA"/>
    <s v="SAN JUAN"/>
    <s v="Venta de viandas asadas rellenas"/>
    <x v="24"/>
    <n v="28000"/>
    <n v="0"/>
    <n v="22399.95"/>
    <n v="5600.0499999999993"/>
    <s v="Programa de apoyo a empresarios minoritarios"/>
  </r>
  <r>
    <s v="FIE60-2022-2023-0195"/>
    <s v="2023-002300-A"/>
    <x v="104"/>
    <d v="2023-12-20T00:00:00"/>
    <d v="2028-05-29T00:00:00"/>
    <s v="Contract"/>
    <s v="DAMIAN RAMIREZ HNC HIDROCULTIVOS ALONDRA"/>
    <s v="AGUADA"/>
    <s v="Hidroponico cultivo de lechuga y cilantrillo"/>
    <x v="23"/>
    <n v="14066.25"/>
    <n v="0"/>
    <n v="14066.25"/>
    <n v="0"/>
    <s v="Programa de apoyo a empresarios minoritarios"/>
  </r>
  <r>
    <s v="FIE60-2023-2024-0047"/>
    <s v="2024-000608"/>
    <x v="99"/>
    <d v="2023-12-21T00:00:00"/>
    <d v="2025-12-20T00:00:00"/>
    <s v="Contract"/>
    <s v="GREIZA M. FELIX AGOSTO "/>
    <s v="DORADO"/>
    <s v="Confección de todo tipo de postres"/>
    <x v="24"/>
    <n v="7221"/>
    <n v="0"/>
    <n v="0"/>
    <n v="7221"/>
    <s v="Programa de apoyo a empresarios minoritarios"/>
  </r>
  <r>
    <s v="FIE60-2023-2024-0047"/>
    <s v="2024-000613"/>
    <x v="99"/>
    <d v="2023-12-21T00:00:00"/>
    <d v="2025-12-20T00:00:00"/>
    <s v="Contract"/>
    <s v="CARMEN M. DIAZ COLON "/>
    <s v="CIALES"/>
    <s v="Centro Integral de Estética Facial y Corporal."/>
    <x v="24"/>
    <n v="10000"/>
    <n v="0"/>
    <n v="925"/>
    <n v="9075"/>
    <s v="Programa de apoyo a empresarios minoritarios"/>
  </r>
  <r>
    <s v="FIE60-2023-2024-0043"/>
    <s v="2024-000619"/>
    <x v="99"/>
    <d v="2023-12-22T00:00:00"/>
    <d v="2026-12-20T00:00:00"/>
    <s v="Cancelled"/>
    <s v="JEAN SANTIAGO FELICIANO"/>
    <s v="PONCE "/>
    <s v="Renglón de madera"/>
    <x v="15"/>
    <n v="852"/>
    <n v="13.52"/>
    <n v="838.48"/>
    <n v="0"/>
    <s v="Programa de apoyo a empresarios minoritarios.  Finanzas solicita cancelar balance al 4-10-2025"/>
  </r>
  <r>
    <s v="FIE60-2023-2024-0080"/>
    <s v="2024-000620"/>
    <x v="83"/>
    <d v="2023-12-22T00:00:00"/>
    <d v="2028-12-21T00:00:00"/>
    <s v="Cancelled"/>
    <s v="ALPLA CARIBE, INC."/>
    <s v="GUAYAMA"/>
    <s v="Productos de goma y plástico"/>
    <x v="8"/>
    <n v="660000"/>
    <n v="548400"/>
    <n v="111600"/>
    <n v="0"/>
    <s v="239%. Se canceló esa cuantía por inclumplimiento de contrato."/>
  </r>
  <r>
    <s v="FIE60-2023-2024-0081"/>
    <s v="2024-000621"/>
    <x v="83"/>
    <d v="2023-12-22T00:00:00"/>
    <d v="2028-12-21T00:00:00"/>
    <s v="Contract"/>
    <s v="ALPLA CARIBE, INC."/>
    <s v="GUAYAMA"/>
    <s v="Productos de goma y plástico"/>
    <x v="10"/>
    <n v="3500000"/>
    <n v="0"/>
    <n v="2924506.78"/>
    <n v="575493.2200000002"/>
    <n v="2.39"/>
  </r>
  <r>
    <s v="FIE60-2023-2024-0147"/>
    <s v="2024-000622"/>
    <x v="105"/>
    <d v="2023-12-22T00:00:00"/>
    <d v="2028-12-21T00:00:00"/>
    <s v="Cancelled"/>
    <s v="SKALAR PHARMA LLC"/>
    <s v="GUAYAMA"/>
    <s v="Drogas y preparaciones farmacéuticas "/>
    <x v="8"/>
    <n v="160000"/>
    <n v="160000"/>
    <n v="0"/>
    <n v="0"/>
    <s v="90%.  Finanzas canceló el 6-2-2025.  Cierre de la empresa."/>
  </r>
  <r>
    <s v="FIE60-2023-2024-0148"/>
    <s v="2024-000623-B"/>
    <x v="106"/>
    <d v="2024-12-13T00:00:00"/>
    <d v="2026-12-21T00:00:00"/>
    <s v="Cancelled"/>
    <s v="SKALAR PHARMA LLC"/>
    <s v="GUAYAMA"/>
    <s v="Drogas y preparaciones farmacéuticas "/>
    <x v="29"/>
    <n v="1500000"/>
    <n v="0"/>
    <n v="1500000"/>
    <n v="0"/>
    <s v="90%.  Finanzas informa que tiene un balance por $375,000 para recobrar. Al 06-03-2025 "/>
  </r>
  <r>
    <s v="FIE60-2023-2024-0047"/>
    <s v="2024-000630"/>
    <x v="99"/>
    <d v="2024-01-08T00:00:00"/>
    <d v="2026-01-07T00:00:00"/>
    <s v="Contract"/>
    <s v="PREMIUM CUTS LLC"/>
    <s v="GUAYNABO"/>
    <s v="Restaurante con salon"/>
    <x v="24"/>
    <n v="24270"/>
    <n v="0"/>
    <n v="16134.58"/>
    <n v="8135.42"/>
    <s v="Programa de apoyo a empresarios minoritarios"/>
  </r>
  <r>
    <s v="FIE60-2023-2024-0047"/>
    <s v="2024-000633"/>
    <x v="99"/>
    <d v="2024-01-08T00:00:00"/>
    <d v="2026-01-07T00:00:00"/>
    <s v="Contract"/>
    <s v="RR MARKET, INC."/>
    <s v="SAN JUAN"/>
    <s v="Restaurante"/>
    <x v="24"/>
    <n v="17200"/>
    <n v="0"/>
    <n v="12900"/>
    <n v="4300"/>
    <s v="Programa de apoyo a empresarios minoritarios"/>
  </r>
  <r>
    <s v="FIE60-2023-2024-0047"/>
    <s v="2024-000634"/>
    <x v="99"/>
    <d v="2024-01-08T00:00:00"/>
    <d v="2026-01-07T00:00:00"/>
    <s v="Contract"/>
    <s v="CULEBRA LITTLE ISLAND STORE &amp; CAFE CORP"/>
    <s v="CULEBRA"/>
    <s v="Otros"/>
    <x v="24"/>
    <n v="4850"/>
    <n v="0"/>
    <n v="0"/>
    <n v="4850"/>
    <s v="Programa de apoyo a empresarios minoritarios"/>
  </r>
  <r>
    <s v="FIE60-2023-2024-0047"/>
    <s v="2024-000644"/>
    <x v="99"/>
    <d v="2024-01-09T00:00:00"/>
    <d v="2026-01-08T00:00:00"/>
    <s v="Contract"/>
    <s v="ZEP CORP Y/O BARRIO PIZZERIA"/>
    <s v="GUAYNABO"/>
    <s v="Restaurante"/>
    <x v="24"/>
    <n v="40000"/>
    <n v="0"/>
    <n v="8000"/>
    <n v="32000"/>
    <s v="Programa de apoyo a empresarios minoritarios"/>
  </r>
  <r>
    <s v="FIE60-2023-2024-0047"/>
    <s v="2024-000649"/>
    <x v="99"/>
    <d v="2024-01-09T00:00:00"/>
    <d v="2026-01-08T00:00:00"/>
    <s v="Cancelled"/>
    <s v="LA CAUSA LLC"/>
    <s v="SAN JUAN"/>
    <s v="Empresa para la gerencia de proyectos financiados con Fondos Federales o Estatales"/>
    <x v="24"/>
    <n v="4106"/>
    <n v="10"/>
    <n v="4096"/>
    <n v="0"/>
    <s v="Programa de apoyo a empresarios minoritarios.  Finanzas solicita cancelar balance al 4-10-2025"/>
  </r>
  <r>
    <s v="FIE60-2023-2024-0047"/>
    <s v="2024-000654"/>
    <x v="99"/>
    <d v="2024-01-09T00:00:00"/>
    <d v="2026-01-08T00:00:00"/>
    <s v="Contract"/>
    <s v="CRIOLITE STORES LLC"/>
    <s v="SAN JUAN"/>
    <s v="Venta al detal de alimentos saludables"/>
    <x v="24"/>
    <n v="8700"/>
    <n v="0"/>
    <n v="0"/>
    <n v="8700"/>
    <s v="Programa de apoyo a empresarios minoritarios"/>
  </r>
  <r>
    <s v="FIE60-2023-2024-0134"/>
    <s v="2024-000661"/>
    <x v="101"/>
    <d v="2024-01-11T00:00:00"/>
    <d v="2027-01-10T00:00:00"/>
    <s v="Contract"/>
    <s v="BULL BOND MFG CORP."/>
    <s v="CAGUAS"/>
    <s v="Otros productos químicos "/>
    <x v="8"/>
    <n v="3000"/>
    <n v="0"/>
    <n v="0"/>
    <n v="3000"/>
    <n v="6.6"/>
  </r>
  <r>
    <s v="FIE60-2023-2024-0317"/>
    <s v="2024-000664"/>
    <x v="107"/>
    <d v="2024-01-11T00:00:00"/>
    <d v="2029-01-10T00:00:00"/>
    <s v="Contract"/>
    <s v="STAR IMPRESSIONS LLC"/>
    <s v="BAYAMON"/>
    <s v="Productos textiles"/>
    <x v="8"/>
    <n v="35000"/>
    <n v="0"/>
    <n v="0"/>
    <n v="35000"/>
    <n v="1.23"/>
  </r>
  <r>
    <s v="FIE60-2023-2024-0047"/>
    <s v="2024-000667"/>
    <x v="99"/>
    <d v="2024-01-12T00:00:00"/>
    <d v="2026-01-11T00:00:00"/>
    <s v="Contract"/>
    <s v="READY PROMO SOLUTIONS"/>
    <s v="BAYAMON"/>
    <s v="Uniformes y Bordados, Textiles, Serigrafia, Trabajos de Creación y Digitalización de Artes"/>
    <x v="24"/>
    <n v="15000"/>
    <n v="0"/>
    <n v="0"/>
    <n v="15000"/>
    <s v="Programa de apoyo a empresarios minoritarios"/>
  </r>
  <r>
    <s v="FIE60-2023-2024-0048"/>
    <s v="2024-000668"/>
    <x v="99"/>
    <d v="2024-01-16T00:00:00"/>
    <d v="2024-06-30T00:00:00"/>
    <s v="Contract"/>
    <s v="8.9, LLC"/>
    <s v="PONCE "/>
    <s v="Diez (10) talleres a jóvenes con discapacidad"/>
    <x v="16"/>
    <n v="56000"/>
    <n v="0"/>
    <n v="56000"/>
    <n v="0"/>
    <s v="Programa de apoyo a empresarios minoritarios"/>
  </r>
  <r>
    <s v="FIE60-2023-2024-0048"/>
    <s v="2024-000669"/>
    <x v="99"/>
    <d v="2024-01-16T00:00:00"/>
    <d v="2024-06-30T00:00:00"/>
    <s v="Contract"/>
    <s v="MUNICIPIO DE OROCOVIS"/>
    <s v="OROCOVIS"/>
    <s v="Proyecto Primera Escuela Empresarial"/>
    <x v="16"/>
    <n v="15000"/>
    <n v="0"/>
    <n v="0"/>
    <n v="15000"/>
    <s v="Programa de apoyo a empresarios minoritarios"/>
  </r>
  <r>
    <s v="FIE60-2023-2024-0143"/>
    <s v="2024-000671"/>
    <x v="108"/>
    <d v="2024-01-17T00:00:00"/>
    <d v="2025-01-16T00:00:00"/>
    <s v="Contract"/>
    <s v="FRIENDS OF PUERTO RICO CORP."/>
    <s v="BAYAMON"/>
    <s v="Centros de Emprendimientos para la Mujer"/>
    <x v="30"/>
    <n v="34000"/>
    <n v="0"/>
    <n v="34000"/>
    <n v="0"/>
    <s v="Auspicio"/>
  </r>
  <r>
    <s v="FIE60-2023-2024-0151"/>
    <s v="2024-000673"/>
    <x v="109"/>
    <d v="2024-01-17T00:00:00"/>
    <d v="2029-01-16T00:00:00"/>
    <s v="Cancelled"/>
    <s v="SKALAR PHARMA LLC"/>
    <s v="GUAYAMA"/>
    <s v="Drogas y preparaciones farmacéuticas "/>
    <x v="10"/>
    <n v="650000"/>
    <n v="650000"/>
    <n v="0"/>
    <n v="0"/>
    <s v="90%.  Finanzas canceló el 6-2-2025.  Cierre de la empresa."/>
  </r>
  <r>
    <s v="FIE60-2023-2024-0150"/>
    <s v="2024-000674"/>
    <x v="109"/>
    <d v="2024-01-17T00:00:00"/>
    <d v="2029-01-16T00:00:00"/>
    <s v="Cancelled"/>
    <s v="SKALAR PHARMA LLC"/>
    <s v="GUAYAMA"/>
    <s v="Drogas y preparaciones farmacéuticas "/>
    <x v="27"/>
    <n v="700000"/>
    <n v="700000"/>
    <n v="0"/>
    <n v="0"/>
    <s v="90%.  Finanzas canceló el 6-2-2025.  Cierre de la empresa."/>
  </r>
  <r>
    <s v="FIE60-2023-2024-0047"/>
    <s v="2023-002313-A"/>
    <x v="99"/>
    <d v="2024-01-19T00:00:00"/>
    <d v="2025-06-01T00:00:00"/>
    <s v="Contract"/>
    <s v="AJS PIZZA, INC."/>
    <s v="TRUJILLO ALTO"/>
    <s v="Bebidas y Alimentos"/>
    <x v="24"/>
    <n v="50000"/>
    <n v="0"/>
    <n v="50000"/>
    <n v="0"/>
    <s v="Programa de apoyo a empresarios minoritarios"/>
  </r>
  <r>
    <s v="FIE60-2023-2024-0102"/>
    <s v="2024-000676"/>
    <x v="101"/>
    <d v="2024-01-19T00:00:00"/>
    <d v="2029-01-18T00:00:00"/>
    <s v="Contract"/>
    <s v="POWER PRECAST PRODUCTS CORP."/>
    <s v="RIO GRANDE"/>
    <s v="Manufactura miscelánea"/>
    <x v="8"/>
    <n v="48750"/>
    <n v="0"/>
    <n v="30000"/>
    <n v="18750"/>
    <n v="0.55000000000000004"/>
  </r>
  <r>
    <s v="FIE60-2023-2024-0103"/>
    <s v="2024-000677"/>
    <x v="101"/>
    <d v="2024-01-19T00:00:00"/>
    <d v="2029-01-18T00:00:00"/>
    <s v="Contract"/>
    <s v="POWER PRECAST PRODUCTS CORP."/>
    <s v="RIO GRANDE"/>
    <s v="Manufactura miscelánea"/>
    <x v="10"/>
    <n v="1050000"/>
    <n v="0"/>
    <n v="210000"/>
    <n v="840000"/>
    <n v="0.55000000000000004"/>
  </r>
  <r>
    <s v="FIE60-2023-2024-0149"/>
    <s v="2024-000678"/>
    <x v="110"/>
    <d v="2024-01-19T00:00:00"/>
    <d v="2029-01-18T00:00:00"/>
    <s v="Contract"/>
    <s v="KARINA BAKERY, INC."/>
    <s v="CATAÑO"/>
    <s v="Gelatina y productos de repostería"/>
    <x v="3"/>
    <n v="23824"/>
    <n v="0"/>
    <n v="23824"/>
    <n v="0"/>
    <n v="14.39"/>
  </r>
  <r>
    <s v="FIE60-2023-2024-0145"/>
    <s v="2024-000712"/>
    <x v="111"/>
    <d v="2024-01-26T00:00:00"/>
    <d v="2024-06-30T00:00:00"/>
    <s v="Contract"/>
    <s v="ENTERPRIZE EVENTS, INC."/>
    <s v="SAN JUAN"/>
    <s v="Programas de educación y desarrollo empresarial"/>
    <x v="12"/>
    <n v="200000"/>
    <n v="0"/>
    <n v="199307.19"/>
    <n v="692.80999999999767"/>
    <s v="Programa de apoyo a empresarios minoritarios"/>
  </r>
  <r>
    <s v="FIE60-2023-2024-0100"/>
    <s v="2024-000244-A"/>
    <x v="101"/>
    <d v="2024-01-29T00:00:00"/>
    <d v="2026-10-08T00:00:00"/>
    <s v="Contract"/>
    <s v="PALEFRUTA CORP."/>
    <s v="ISABELA"/>
    <s v="Productos misceláneos de alimentos "/>
    <x v="8"/>
    <n v="6000"/>
    <n v="0"/>
    <n v="0"/>
    <n v="6000"/>
    <n v="1.8"/>
  </r>
  <r>
    <s v="FIE60-2023-2024-0144"/>
    <s v="2024-000689"/>
    <x v="112"/>
    <d v="2024-01-29T00:00:00"/>
    <d v="2024-06-30T00:00:00"/>
    <s v="Contract"/>
    <s v="CARLOS BELTRAN BASEBALL ACADEMY, INC."/>
    <s v="FLORIDA"/>
    <s v="Escuela especializada de excelencia academica y atletica"/>
    <x v="30"/>
    <n v="150000"/>
    <n v="0"/>
    <n v="120180"/>
    <n v="29820"/>
    <s v="Auspicio"/>
  </r>
  <r>
    <s v="FIE60-2023-2024-0053"/>
    <s v="2024-000717"/>
    <x v="99"/>
    <d v="2024-02-04T00:00:00"/>
    <d v="2024-06-30T00:00:00"/>
    <s v="Contract"/>
    <s v="CANICA LLC"/>
    <s v="SAN JUAN"/>
    <s v="Película &quot;La Pecera&quot;"/>
    <x v="14"/>
    <n v="15000"/>
    <n v="0"/>
    <n v="15000"/>
    <n v="0"/>
    <s v="Auspicio"/>
  </r>
  <r>
    <s v="FIE60-2023-2024-0047"/>
    <s v="2024-000711"/>
    <x v="99"/>
    <d v="2024-02-05T00:00:00"/>
    <d v="2025-02-04T00:00:00"/>
    <s v="Contract"/>
    <s v="KD MANAGEMENT LLC"/>
    <s v="HUMACAO"/>
    <s v="Barberia especializada en nitios, tambien se atienden adultos"/>
    <x v="24"/>
    <n v="5000"/>
    <n v="0"/>
    <n v="5000"/>
    <n v="0"/>
    <s v="Programa de apoyo a empresarios minoritarios"/>
  </r>
  <r>
    <s v="FIE60-2023-2024-0052"/>
    <s v="2024-000715"/>
    <x v="99"/>
    <d v="2024-02-06T00:00:00"/>
    <d v="2024-06-30T00:00:00"/>
    <s v="Contract"/>
    <s v="LUSCA LLC"/>
    <s v="SAN JUAN"/>
    <s v="El Evento"/>
    <x v="14"/>
    <n v="25000"/>
    <n v="0"/>
    <n v="25000"/>
    <n v="0"/>
    <s v="Auspicio"/>
  </r>
  <r>
    <s v="FIE60-2023-2024-0068"/>
    <s v="2024-000726"/>
    <x v="99"/>
    <d v="2024-02-06T00:00:00"/>
    <d v="2025-08-05T00:00:00"/>
    <s v="Contract"/>
    <s v="CLOSING ATTORNEYS PCS"/>
    <s v="SAN JUAN"/>
    <s v="Legales Herencia, Notaría v Agentes de Cierres"/>
    <x v="31"/>
    <n v="5000"/>
    <n v="0"/>
    <n v="0"/>
    <n v="5000"/>
    <s v="Programa de apoyo a empresarios minoritarios"/>
  </r>
  <r>
    <s v="FIE60-2023-2024-0068"/>
    <s v="2024-000727"/>
    <x v="99"/>
    <d v="2024-02-06T00:00:00"/>
    <d v="2025-08-05T00:00:00"/>
    <s v="Contract"/>
    <s v="LEYTON COLON LLC"/>
    <s v="CANOVANAS"/>
    <s v="Servicio de Estética y Venta de Productos"/>
    <x v="31"/>
    <n v="10000"/>
    <n v="0"/>
    <n v="3138.42"/>
    <n v="6861.58"/>
    <s v="Programa de apoyo a empresarios minoritarios"/>
  </r>
  <r>
    <s v="FIE60-2023-2024-0068"/>
    <s v="2024-000728"/>
    <x v="99"/>
    <d v="2024-02-06T00:00:00"/>
    <d v="2025-08-05T00:00:00"/>
    <s v="Contract"/>
    <s v="STRAW HAT LLC"/>
    <s v="SAN JUAN"/>
    <s v="Distribución de materiales de construcción y servicio de instalación personalizada de puertas vventanas, sin limitarse a cua lquier negocio liceo"/>
    <x v="31"/>
    <n v="10000"/>
    <n v="0"/>
    <n v="0"/>
    <n v="10000"/>
    <s v="Programa de apoyo a empresarios minoritarios"/>
  </r>
  <r>
    <s v="FIE60-2023-2024-0068"/>
    <s v="2024-000729"/>
    <x v="99"/>
    <d v="2024-02-06T00:00:00"/>
    <d v="2025-08-05T00:00:00"/>
    <s v="Contract"/>
    <s v="JOEL RODRIGUEZ FERNANDEZ"/>
    <s v="SAN LORENZO"/>
    <s v="Servicio de Contabilidad Consultoría a Negocios"/>
    <x v="31"/>
    <n v="10000"/>
    <n v="0"/>
    <n v="3589.12"/>
    <n v="6410.88"/>
    <s v="Programa de apoyo a empresarios minoritarios"/>
  </r>
  <r>
    <s v="FIE60-2023-2024-0068"/>
    <s v="2024-000730"/>
    <x v="99"/>
    <d v="2024-02-06T00:00:00"/>
    <d v="2025-08-05T00:00:00"/>
    <s v="Contract"/>
    <s v="AMAZE AND STRONG ENTERPRISES"/>
    <s v="SAN JUAN"/>
    <s v="Servicios de Eventos de Publicidad"/>
    <x v="31"/>
    <n v="10000"/>
    <n v="0"/>
    <n v="972"/>
    <n v="9028"/>
    <s v="Programa de apoyo a empresarios minoritarios"/>
  </r>
  <r>
    <s v="FIE60-2023-2024-0047"/>
    <s v="2024-000731"/>
    <x v="99"/>
    <d v="2024-02-06T00:00:00"/>
    <d v="2025-02-05T00:00:00"/>
    <s v="Contract"/>
    <s v="SOTO MELENDEZ ENTERPRISES LLC"/>
    <s v="VEGA BAJA"/>
    <s v="Restaurante"/>
    <x v="24"/>
    <n v="5000"/>
    <n v="0"/>
    <n v="5000"/>
    <n v="0"/>
    <s v="Programa de apoyo a empresarios minoritarios"/>
  </r>
  <r>
    <s v="FIE60-2023-2024-0047"/>
    <s v="2024-000732"/>
    <x v="99"/>
    <d v="2024-02-06T00:00:00"/>
    <d v="2026-02-05T00:00:00"/>
    <s v="Contract"/>
    <s v="AGROEMPRESAS ATABEY, INC."/>
    <s v="SANTA ISABEL"/>
    <s v="Producción y Distribución de productos agrícolas frescos"/>
    <x v="24"/>
    <n v="10000"/>
    <n v="0"/>
    <n v="10000"/>
    <n v="0"/>
    <s v="Programa de apoyo a empresarios minoritarios"/>
  </r>
  <r>
    <s v="FIE60-2023-2024-0070"/>
    <s v="2024-000741"/>
    <x v="113"/>
    <d v="2024-02-06T00:00:00"/>
    <d v="2024-08-05T00:00:00"/>
    <s v="Contract"/>
    <s v="LOCKHEED MARTIN GLOBAL, INC."/>
    <s v="AGUADILLA"/>
    <s v="Servicio de Consultoria Administrativa. Apoyo technico de informatica y desarrollo de software"/>
    <x v="1"/>
    <n v="1912500"/>
    <n v="0"/>
    <n v="0"/>
    <n v="1912500"/>
    <n v="7.04"/>
  </r>
  <r>
    <s v="FIE60-2023-2024-0069"/>
    <s v="2024-000742"/>
    <x v="114"/>
    <d v="2024-02-06T00:00:00"/>
    <d v="2029-02-05T00:00:00"/>
    <s v="Contract"/>
    <s v="LOCKHEED MARTIN GLOBAL, INC."/>
    <s v="AGUADILLA"/>
    <s v="Servicio de Consultoria Administrativa. Apoyo technico de informatica y desarrollo de software"/>
    <x v="3"/>
    <n v="520000"/>
    <n v="0"/>
    <n v="0"/>
    <n v="520000"/>
    <n v="7.04"/>
  </r>
  <r>
    <s v="FIE60-2023-2024-0068"/>
    <s v="2024-000736"/>
    <x v="99"/>
    <d v="2024-02-09T00:00:00"/>
    <d v="2025-08-08T00:00:00"/>
    <s v="Contract"/>
    <s v="TRANSFORMA FAMILY GROUP THERAPY, LLC"/>
    <s v="PEÑUELAS"/>
    <s v="Servicio de Terapia de Salud Emocional y Menta"/>
    <x v="31"/>
    <n v="10000"/>
    <n v="0"/>
    <n v="0"/>
    <n v="10000"/>
    <s v="Programa de apoyo a empresarios minoritarios"/>
  </r>
  <r>
    <s v="FIE60-2023-2024-0068"/>
    <s v="2024-000737"/>
    <x v="99"/>
    <d v="2024-02-09T00:00:00"/>
    <d v="2025-08-08T00:00:00"/>
    <s v="Contract"/>
    <s v="E MARINO ACCOUNTING CORP."/>
    <s v="BAYAMON"/>
    <s v="Servicio de Contabilidad"/>
    <x v="31"/>
    <n v="3000"/>
    <n v="0"/>
    <n v="0"/>
    <n v="3000"/>
    <s v="Programa de apoyo a empresarios minoritarios"/>
  </r>
  <r>
    <s v="FIE60-2023-2024-0047"/>
    <s v="2024-000738"/>
    <x v="99"/>
    <d v="2024-02-09T00:00:00"/>
    <d v="2025-02-08T00:00:00"/>
    <s v="Contract"/>
    <s v="MINDFUL ZOUL PSYCHOSOCIAL SERVICES LLC"/>
    <s v="ISABELA"/>
    <s v="Oficina de Salud Mental Psicoterapia y Consejería"/>
    <x v="24"/>
    <n v="5000"/>
    <n v="0"/>
    <n v="5000"/>
    <n v="0"/>
    <s v="Programa de apoyo a empresarios minoritarios"/>
  </r>
  <r>
    <s v="FIE60-2023-2024-0047"/>
    <s v="2024-000739"/>
    <x v="99"/>
    <d v="2024-02-12T00:00:00"/>
    <d v="2026-02-11T00:00:00"/>
    <s v="Contract"/>
    <s v="JAZMIN FIGUEROA MARTINEZ"/>
    <s v="ISABELA"/>
    <s v="Comercio Al Detal"/>
    <x v="24"/>
    <n v="50000"/>
    <n v="0"/>
    <n v="0"/>
    <n v="50000"/>
    <s v="Programa de apoyo a empresarios minoritarios"/>
  </r>
  <r>
    <s v="FIE60-2023-2024-0168"/>
    <s v="2024-000744"/>
    <x v="112"/>
    <d v="2024-02-13T00:00:00"/>
    <d v="2027-02-12T00:00:00"/>
    <s v="Contract"/>
    <s v="BAGUETTES DE PUERTO RICO LLC"/>
    <s v="PONCE "/>
    <s v="Elaboracion de panes artesanales"/>
    <x v="1"/>
    <n v="9450"/>
    <n v="0"/>
    <n v="0"/>
    <n v="9450"/>
    <n v="2.48"/>
  </r>
  <r>
    <s v="FIE60-2023-2024-0169"/>
    <s v="2024-000745"/>
    <x v="115"/>
    <d v="2024-02-13T00:00:00"/>
    <d v="2029-02-12T00:00:00"/>
    <s v="Contract"/>
    <s v="BAGUETTES DE PUERTO RICO LLC"/>
    <s v="PONCE "/>
    <s v="Elaboracion de panes artesanales"/>
    <x v="3"/>
    <n v="18071"/>
    <n v="0"/>
    <n v="18071"/>
    <n v="0"/>
    <n v="2.48"/>
  </r>
  <r>
    <s v="FIE60-2023-2024-0157"/>
    <s v="2024-000746"/>
    <x v="112"/>
    <d v="2024-02-13T00:00:00"/>
    <d v="2029-02-12T00:00:00"/>
    <s v="Contract"/>
    <s v="GUAYABA TOSTADA, LLC"/>
    <s v="HUMACAO"/>
    <s v="Elaboracion de postrees al por mayor"/>
    <x v="1"/>
    <n v="6500"/>
    <n v="0"/>
    <n v="2600"/>
    <n v="3900"/>
    <n v="7.45"/>
  </r>
  <r>
    <s v="FIE60-2023-2024-0158"/>
    <s v="2024-000747"/>
    <x v="112"/>
    <d v="2024-02-13T00:00:00"/>
    <d v="2029-02-12T00:00:00"/>
    <s v="Contract"/>
    <s v="GUAYABA TOSTADA, LLC"/>
    <s v="HUMACAO"/>
    <s v="Elaboracion de postrees al por mayor"/>
    <x v="3"/>
    <n v="27960"/>
    <n v="0"/>
    <n v="8671.5"/>
    <n v="19288.5"/>
    <n v="7.45"/>
  </r>
  <r>
    <s v="FIE60-2023-2024-0172"/>
    <s v="2024-000748"/>
    <x v="115"/>
    <d v="2024-02-13T00:00:00"/>
    <d v="2029-02-12T00:00:00"/>
    <s v="Contract"/>
    <s v="DISTRIBUIDORA LA JUGOSITA, INC."/>
    <s v="CAYEY"/>
    <s v="Manufactura de jugos de Frutas"/>
    <x v="3"/>
    <n v="84000"/>
    <n v="0"/>
    <n v="0"/>
    <n v="84000"/>
    <n v="9.2100000000000009"/>
  </r>
  <r>
    <s v="FIE60-2023-2024-0068"/>
    <s v="2024-000754"/>
    <x v="99"/>
    <d v="2024-02-14T00:00:00"/>
    <d v="2024-08-13T00:00:00"/>
    <s v="Contract"/>
    <s v="ON MY MIND, LLC"/>
    <s v="SAN JUAN"/>
    <s v="Agencia de Publicidad"/>
    <x v="31"/>
    <n v="10000"/>
    <n v="0"/>
    <n v="0"/>
    <n v="10000"/>
    <s v="Programa de apoyo a empresarios minoritarios"/>
  </r>
  <r>
    <s v="FIE60-2023-2024-0068"/>
    <s v="2024-000755"/>
    <x v="99"/>
    <d v="2024-02-14T00:00:00"/>
    <d v="2025-08-13T00:00:00"/>
    <s v="Contract"/>
    <s v="ARTEMORFOSIS LLC"/>
    <s v="CAROLINA"/>
    <s v="Academia de Artes"/>
    <x v="31"/>
    <n v="10000"/>
    <n v="0"/>
    <n v="4629.08"/>
    <n v="5370.92"/>
    <s v="Programa de apoyo a empresarios minoritarios"/>
  </r>
  <r>
    <s v="FIE60-2023-2024-0068"/>
    <s v="2024-000756"/>
    <x v="99"/>
    <d v="2024-02-14T00:00:00"/>
    <d v="2025-08-13T00:00:00"/>
    <s v="Contract"/>
    <s v="CENTRO QUIROPRACTICO DRA. MUNIZ"/>
    <s v="ISABELA"/>
    <s v="Servicio Quiropráctico / Naturopata"/>
    <x v="31"/>
    <n v="10000"/>
    <n v="0"/>
    <n v="2365.02"/>
    <n v="7634.98"/>
    <s v="Programa de apoyo a empresarios minoritarios"/>
  </r>
  <r>
    <s v="FIE60-2023-2024-0068"/>
    <s v="2024-000757"/>
    <x v="99"/>
    <d v="2024-02-14T00:00:00"/>
    <d v="2025-08-13T00:00:00"/>
    <s v="Contract"/>
    <s v="PECCAS LLC"/>
    <s v="SAN JUAN"/>
    <s v="Bebidas y Alimentos"/>
    <x v="31"/>
    <n v="10000"/>
    <n v="0"/>
    <n v="0"/>
    <n v="10000"/>
    <s v="Programa de apoyo a empresarios minoritarios"/>
  </r>
  <r>
    <s v="FIE60-2023-2024-0068"/>
    <s v="2024-000758"/>
    <x v="99"/>
    <d v="2024-02-14T00:00:00"/>
    <d v="2025-08-13T00:00:00"/>
    <s v="Contract"/>
    <s v="ATHLETIC SPORTECH, LLC"/>
    <s v="AGUADILLA"/>
    <s v="Comercio al Detal"/>
    <x v="31"/>
    <n v="10000"/>
    <n v="0"/>
    <n v="2055.33"/>
    <n v="7944.67"/>
    <s v="Programa de apoyo a empresarios minoritarios"/>
  </r>
  <r>
    <s v="FIE60-2023-2024-0068"/>
    <s v="2024-000759"/>
    <x v="99"/>
    <d v="2024-02-14T00:00:00"/>
    <d v="2025-08-13T00:00:00"/>
    <s v="Contract"/>
    <s v="INGENIUM PROFESSIONAL GROUP PSC"/>
    <s v="SAN JUAN"/>
    <s v="Servicio de Ingeniería, Gerencia de Proyectos"/>
    <x v="31"/>
    <n v="10000"/>
    <n v="0"/>
    <n v="0"/>
    <n v="10000"/>
    <s v="Programa de apoyo a empresarios minoritarios"/>
  </r>
  <r>
    <s v="FIE60-2023-2024-0051"/>
    <s v="2024-000760"/>
    <x v="99"/>
    <d v="2024-02-14T00:00:00"/>
    <d v="2025-12-31T00:00:00"/>
    <s v="Contract"/>
    <s v="EMILY J. RIVERA RAMIREZ"/>
    <s v="CANOVANAS"/>
    <s v="Beca Teodoro Moscoso Mora"/>
    <x v="16"/>
    <n v="20000"/>
    <n v="0"/>
    <n v="10000"/>
    <n v="10000"/>
    <s v="Programa de apoyo a empresarios minoritarios"/>
  </r>
  <r>
    <s v="FIE60-2023-2024-0051"/>
    <s v="2024-000761"/>
    <x v="99"/>
    <d v="2024-02-14T00:00:00"/>
    <d v="2024-12-31T00:00:00"/>
    <s v="Contract"/>
    <s v="CHRISTIAN J. OTERO GARCIA"/>
    <s v="TRUJILLO ALTO"/>
    <s v="Beca Teodoro Moscoso Mora"/>
    <x v="16"/>
    <n v="10000"/>
    <n v="0"/>
    <n v="10000"/>
    <n v="0"/>
    <s v="Programa de apoyo a empresarios minoritarios"/>
  </r>
  <r>
    <s v="FIE60-2023-2024-0051"/>
    <s v="2024-000762"/>
    <x v="99"/>
    <d v="2024-02-14T00:00:00"/>
    <d v="2024-12-31T00:00:00"/>
    <s v="Contract"/>
    <s v="DELMARIE M. RIVERA RODRIGUEZ"/>
    <s v="TOA BAJA"/>
    <s v="Beca Teodoro Moscoso Mora"/>
    <x v="16"/>
    <n v="10000"/>
    <n v="0"/>
    <n v="10000"/>
    <n v="0"/>
    <s v="Programa de apoyo a empresarios minoritarios"/>
  </r>
  <r>
    <s v="FIE60-2023-2024-0163"/>
    <s v="2024-000749"/>
    <x v="112"/>
    <d v="2024-02-15T00:00:00"/>
    <d v="2029-02-14T00:00:00"/>
    <s v="Cancelled"/>
    <s v="JJ KITCHEN, LLC"/>
    <s v="CIDRA"/>
    <s v="Manufactura de gabinetes, escritorios, vanities"/>
    <x v="1"/>
    <n v="2250"/>
    <n v="2250"/>
    <n v="0"/>
    <n v="0"/>
    <n v="1.3"/>
  </r>
  <r>
    <s v="FIE60-2023-2024-0164"/>
    <s v="2024-000750"/>
    <x v="112"/>
    <d v="2024-02-15T00:00:00"/>
    <d v="2029-02-14T00:00:00"/>
    <s v="Contract"/>
    <s v="JJ KITCHEN, LLC"/>
    <s v="CIDRA"/>
    <s v="Manufactura de gabinetes, escritorios, vanities"/>
    <x v="3"/>
    <n v="25000"/>
    <n v="0"/>
    <n v="25000"/>
    <n v="0"/>
    <n v="1.3"/>
  </r>
  <r>
    <s v="FIE60-2023-2024-0053"/>
    <s v="2024-000752"/>
    <x v="99"/>
    <d v="2024-02-15T00:00:00"/>
    <d v="2024-06-30T00:00:00"/>
    <s v="Contract"/>
    <s v="ALLIANCE FRANCAISE DE PUERTO RICO, INC."/>
    <s v="SAN JUAN"/>
    <s v="El Evento"/>
    <x v="14"/>
    <n v="10000"/>
    <n v="0"/>
    <n v="10000"/>
    <n v="0"/>
    <s v="Auspicio"/>
  </r>
  <r>
    <s v="FIE60-2023-2024-0053"/>
    <s v="2024-000763"/>
    <x v="99"/>
    <d v="2024-02-16T00:00:00"/>
    <d v="2024-06-30T00:00:00"/>
    <s v="Contract"/>
    <s v="NOSTROM MOVING IMAGES GROUP CORP."/>
    <s v="SAN JUAN"/>
    <s v="Documental  &quot;El Trompetista&quot;"/>
    <x v="14"/>
    <n v="20000"/>
    <n v="0"/>
    <n v="20000"/>
    <n v="0"/>
    <s v="Auspicio"/>
  </r>
  <r>
    <s v="FIE60-2023-2024-0047"/>
    <s v="2024-000770"/>
    <x v="99"/>
    <d v="2024-02-19T00:00:00"/>
    <d v="2026-02-18T00:00:00"/>
    <s v="Contract"/>
    <s v="FINCA EL SOL DE JOAQUIN, INC."/>
    <s v="JAYUYA"/>
    <s v="Servicio de expendio de café y alimentos"/>
    <x v="24"/>
    <n v="20000"/>
    <n v="0"/>
    <n v="19882"/>
    <n v="118"/>
    <s v="Programa de apoyo a empresarios minoritarios"/>
  </r>
  <r>
    <s v="FIE60-2023-2024-0051"/>
    <s v="2024-000767"/>
    <x v="99"/>
    <d v="2024-02-20T00:00:00"/>
    <d v="2024-12-31T00:00:00"/>
    <s v="Contract"/>
    <s v="CORAL ALEXANDRA CASTRO OLMO"/>
    <s v="CAROLINA"/>
    <s v="Beca Teodoro Moscoso Mora"/>
    <x v="16"/>
    <n v="10000"/>
    <n v="0"/>
    <n v="10000"/>
    <n v="0"/>
    <s v="Programa de apoyo a empresarios minoritarios"/>
  </r>
  <r>
    <s v="FIE60-2023-2024-0047"/>
    <s v="2024-000771"/>
    <x v="99"/>
    <d v="2024-02-20T00:00:00"/>
    <d v="2026-02-19T00:00:00"/>
    <s v="Contract"/>
    <s v="TERAPIAME C.P."/>
    <s v="YABUCOA"/>
    <s v="Servicios de Terapia Ocupacional, Habla y Lenquaie y Educativa a Niños de Educación Especial"/>
    <x v="24"/>
    <n v="11400"/>
    <n v="0"/>
    <n v="0"/>
    <n v="11400"/>
    <s v="Programa de apoyo a empresarios minoritarios"/>
  </r>
  <r>
    <s v="FIE60-2023-2024-0051"/>
    <s v="2024-000773"/>
    <x v="99"/>
    <d v="2024-02-20T00:00:00"/>
    <d v="2025-05-31T00:00:00"/>
    <s v="Contract"/>
    <s v="IAN C. FELICIANO MENDOZA"/>
    <s v="BARCELONETA"/>
    <s v="Beca Teodoro Moscoso Mora"/>
    <x v="16"/>
    <n v="35000"/>
    <n v="0"/>
    <n v="15000"/>
    <n v="20000"/>
    <s v="Programa de apoyo a empresarios minoritarios"/>
  </r>
  <r>
    <s v="FIE60-2023-2024-0051"/>
    <s v="2024-000774"/>
    <x v="99"/>
    <d v="2024-02-20T00:00:00"/>
    <d v="2025-05-31T00:00:00"/>
    <s v="Contract"/>
    <s v="CLAUDIA LYMAR DELGADO GARCIA"/>
    <s v="CANOVANAS"/>
    <s v="Beca Teodoro Moscoso Mora"/>
    <x v="16"/>
    <n v="15000"/>
    <n v="0"/>
    <n v="10000"/>
    <n v="5000"/>
    <s v="Programa de apoyo a empresarios minoritarios"/>
  </r>
  <r>
    <s v="FIE60-2023-2024-0051"/>
    <s v="2024-000775"/>
    <x v="99"/>
    <d v="2024-02-20T00:00:00"/>
    <d v="2024-12-31T00:00:00"/>
    <s v="Contract"/>
    <s v="MARCOS A. AROCHA LOPEZ"/>
    <s v="SAN JUAN"/>
    <s v="Beca Teodoro Moscoso Mora"/>
    <x v="16"/>
    <n v="10000"/>
    <n v="0"/>
    <n v="10000"/>
    <n v="0"/>
    <s v="Programa de apoyo a empresarios minoritarios"/>
  </r>
  <r>
    <s v="FIE60-2023-2024-0051"/>
    <s v="2024-000776"/>
    <x v="99"/>
    <d v="2024-02-20T00:00:00"/>
    <d v="2025-05-31T00:00:00"/>
    <s v="Contract"/>
    <s v="GABRIELA FALCON ROJAS"/>
    <s v="COMERIO"/>
    <s v="Beca Teodoro Moscoso Mora"/>
    <x v="16"/>
    <n v="15000"/>
    <n v="0"/>
    <n v="15000"/>
    <n v="0"/>
    <s v="Programa de apoyo a empresarios minoritarios"/>
  </r>
  <r>
    <s v="FIE60-2023-2024-0051"/>
    <s v="2024-000777"/>
    <x v="99"/>
    <d v="2024-02-20T00:00:00"/>
    <d v="2027-05-31T00:00:00"/>
    <s v="Contract"/>
    <s v="YASET A. ESTRADA CORCINO"/>
    <s v="FAJARDO"/>
    <s v="Beca Teodoro Moscoso Mora"/>
    <x v="16"/>
    <n v="35000"/>
    <n v="0"/>
    <n v="10000"/>
    <n v="25000"/>
    <s v="Programa de apoyo a empresarios minoritarios"/>
  </r>
  <r>
    <s v="FIE60-2023-2024-0051"/>
    <s v="2024-000784"/>
    <x v="99"/>
    <d v="2024-02-22T00:00:00"/>
    <d v="2027-12-31T00:00:00"/>
    <s v="Contract"/>
    <s v="JOMAR A. HIDALGO AGOSTO"/>
    <s v="GUAYNABO"/>
    <s v="Beca Teodoro Moscoso Mora"/>
    <x v="16"/>
    <n v="40000"/>
    <n v="0"/>
    <n v="15000"/>
    <n v="25000"/>
    <s v="Programa de apoyo a empresarios minoritarios"/>
  </r>
  <r>
    <s v="FIE60-2023-2024-0255"/>
    <s v="2024-000787"/>
    <x v="116"/>
    <d v="2024-02-23T00:00:00"/>
    <d v="2029-02-22T00:00:00"/>
    <s v="Contract"/>
    <s v="FENWAL INTERNATIONAL, INC."/>
    <s v="SAN GERMAN"/>
    <s v="Drogas y preparaciones farmacéuticas"/>
    <x v="10"/>
    <n v="3000000"/>
    <n v="0"/>
    <n v="0"/>
    <n v="3000000"/>
    <n v="13.61"/>
  </r>
  <r>
    <s v="FIE60-2023-2024-0256"/>
    <s v="2024-000788"/>
    <x v="116"/>
    <d v="2024-02-23T00:00:00"/>
    <d v="2028-02-22T00:00:00"/>
    <s v="Contract"/>
    <s v="FENWAL INTERNATIONAL, INC."/>
    <s v="SAN GERMAN"/>
    <s v="Drogas y preparaciones farmacéuticas"/>
    <x v="6"/>
    <n v="5000000"/>
    <n v="0"/>
    <n v="0"/>
    <n v="5000000"/>
    <n v="13.61"/>
  </r>
  <r>
    <s v="FIE60-2023-2024-0044"/>
    <s v="2024-000811"/>
    <x v="99"/>
    <d v="2024-02-26T00:00:00"/>
    <d v="2024-12-31T00:00:00"/>
    <s v="Contract"/>
    <s v="MOISES TOLLINCHI PADILLA"/>
    <s v="SAN JUAN"/>
    <s v="Escuela Taller Artesanal (Escuela) de Guaynabo"/>
    <x v="15"/>
    <n v="1440"/>
    <n v="0"/>
    <n v="1440"/>
    <n v="0"/>
    <s v="Programa de apoyo a empresarios minoritarios"/>
  </r>
  <r>
    <s v="FIE60-2023-2024-0044"/>
    <s v="2024-000812"/>
    <x v="99"/>
    <d v="2024-02-26T00:00:00"/>
    <d v="2024-12-31T00:00:00"/>
    <s v="Contract"/>
    <s v="OLGA R. COSTA ALFARO"/>
    <s v="CAGUAS"/>
    <s v="Escuela Taller Artesanal (Escuela) de Guaynabo"/>
    <x v="15"/>
    <n v="1440"/>
    <n v="0"/>
    <n v="1440"/>
    <n v="0"/>
    <s v="Programa de apoyo a empresarios minoritarios"/>
  </r>
  <r>
    <s v="FIE60-2023-2024-0044"/>
    <s v="2024-000813"/>
    <x v="99"/>
    <d v="2024-02-26T00:00:00"/>
    <d v="2024-12-31T00:00:00"/>
    <s v="Contract"/>
    <s v="ISABEL QUINONES MARTIN"/>
    <s v="SAN JUAN"/>
    <s v="Escuela Taller Artesanal (Escuela) de Guaynabo"/>
    <x v="15"/>
    <n v="1440"/>
    <n v="0"/>
    <n v="1440"/>
    <n v="0"/>
    <s v="Programa de apoyo a empresarios minoritarios"/>
  </r>
  <r>
    <s v="FIE60-2023-2024-0044"/>
    <s v="2024-000814"/>
    <x v="99"/>
    <d v="2024-02-26T00:00:00"/>
    <d v="2024-12-31T00:00:00"/>
    <s v="Contract"/>
    <s v="LISEDIA RONDON REYMUNDI"/>
    <s v="GUAYNABO"/>
    <s v="Escuela Taller Artesanal (Escuela) de Guaynabo"/>
    <x v="15"/>
    <n v="1440"/>
    <n v="0"/>
    <n v="1200"/>
    <n v="240"/>
    <s v="Programa de apoyo a empresarios minoritarios"/>
  </r>
  <r>
    <s v="FIE60-2023-2024-0044"/>
    <s v="2024-000798"/>
    <x v="99"/>
    <d v="2024-02-27T00:00:00"/>
    <d v="2024-12-31T00:00:00"/>
    <s v="Contract"/>
    <s v="JASMINE RIVERA TORRES"/>
    <s v="TOA ALTA"/>
    <s v="Escuela Taller de Artesanías de Toa Baja"/>
    <x v="15"/>
    <n v="1440"/>
    <n v="0"/>
    <n v="1440"/>
    <n v="0"/>
    <s v="Programa de apoyo a empresarios minoritarios"/>
  </r>
  <r>
    <s v="FIE60-2023-2024-0254"/>
    <s v="2024-000786"/>
    <x v="116"/>
    <d v="2024-02-29T00:00:00"/>
    <d v="2029-02-28T00:00:00"/>
    <s v="Contract"/>
    <s v="FENWAL INTERNATIONAL, INC."/>
    <s v="SAN GERMAN"/>
    <s v="Drogas y preparaciones farmacéuticas"/>
    <x v="8"/>
    <n v="220000"/>
    <n v="0"/>
    <n v="0"/>
    <n v="220000"/>
    <n v="13.61"/>
  </r>
  <r>
    <s v="FIE60-2023-2024-0053"/>
    <s v="2024-000793"/>
    <x v="99"/>
    <d v="2024-02-29T00:00:00"/>
    <d v="2024-06-30T00:00:00"/>
    <s v="Cancelled"/>
    <s v="BOREALIS, LLC"/>
    <s v="SAN JUAN"/>
    <s v="Largometraje &quot;Era del Silencio&quot;"/>
    <x v="14"/>
    <n v="25000"/>
    <n v="50"/>
    <n v="24950"/>
    <n v="0"/>
    <s v="Auspicio.  Contrato vencido."/>
  </r>
  <r>
    <s v="FIE60-2023-2024-0051"/>
    <s v="2024-000801"/>
    <x v="99"/>
    <d v="2024-02-29T00:00:00"/>
    <d v="2026-12-31T00:00:00"/>
    <s v="Contract"/>
    <s v="WILFREDO A. CARDONA RODRIGUEZ"/>
    <s v="TOA ALTA"/>
    <s v="Beca Teodoro Moscoso Mora"/>
    <x v="16"/>
    <n v="20000"/>
    <n v="0"/>
    <n v="10000"/>
    <n v="10000"/>
    <s v="Programa de apoyo a empresarios minoritarios"/>
  </r>
  <r>
    <s v="FIE60-2023-2024-0051"/>
    <s v="2024-000802"/>
    <x v="99"/>
    <d v="2024-02-29T00:00:00"/>
    <d v="2026-12-31T00:00:00"/>
    <s v="Contract"/>
    <s v="TANISHKA N. CRUZ SIERRA"/>
    <s v="TRUJILLO ALTO"/>
    <s v="Beca Teodoro Moscoso Mora"/>
    <x v="16"/>
    <n v="25000"/>
    <n v="0"/>
    <n v="15000"/>
    <n v="10000"/>
    <m/>
  </r>
  <r>
    <s v="FIE60-2023-2024-0051"/>
    <s v="2024-000803"/>
    <x v="99"/>
    <d v="2024-02-29T00:00:00"/>
    <d v="2026-12-31T00:00:00"/>
    <s v="Contract"/>
    <s v="SEBASTIAN A. ORTIZ TORRES"/>
    <s v="PATILLAS"/>
    <s v="Beca Teodoro Moscoso Mora"/>
    <x v="16"/>
    <n v="30000"/>
    <n v="0"/>
    <n v="15000"/>
    <n v="15000"/>
    <s v="Programa de apoyo a empresarios minoritarios"/>
  </r>
  <r>
    <s v="FIE60-2023-2024-0051"/>
    <s v="2024-000804"/>
    <x v="99"/>
    <d v="2024-02-29T00:00:00"/>
    <d v="2027-12-31T00:00:00"/>
    <s v="Contract"/>
    <s v="JAAZIEL CARABALLO OTERO"/>
    <s v="BAYAMON"/>
    <s v="Beca Teodoro Moscoso Mora"/>
    <x v="16"/>
    <n v="40000"/>
    <n v="0"/>
    <n v="10000"/>
    <n v="30000"/>
    <s v="Programa de apoyo a empresarios minoritarios"/>
  </r>
  <r>
    <s v="FIE60-2023-2024-0051"/>
    <s v="2024-000805"/>
    <x v="99"/>
    <d v="2024-02-29T00:00:00"/>
    <d v="2027-12-31T00:00:00"/>
    <s v="Contract"/>
    <s v="BETZAIDA M. PEREZ BURGOS"/>
    <s v="TRUJILLO ALTO"/>
    <s v="Beca Teodoro Moscoso Mora"/>
    <x v="16"/>
    <n v="40000"/>
    <n v="0"/>
    <n v="5000"/>
    <n v="35000"/>
    <s v="Programa de apoyo a empresarios minoritarios"/>
  </r>
  <r>
    <s v="FIE60-2023-2024-0160"/>
    <s v="2024-000807"/>
    <x v="112"/>
    <d v="2024-02-29T00:00:00"/>
    <d v="2029-02-28T00:00:00"/>
    <s v="Contract"/>
    <s v="GUIDANT PUERTO RICO BV"/>
    <s v="DORADO"/>
    <s v="Cateteres y otros equipos cardiovasculares      "/>
    <x v="10"/>
    <n v="5000000"/>
    <n v="0"/>
    <n v="2800000"/>
    <n v="2200000"/>
    <n v="16.37"/>
  </r>
  <r>
    <s v="FIE60-2023-2024-0044"/>
    <s v="2024-000810"/>
    <x v="99"/>
    <d v="2024-02-29T00:00:00"/>
    <d v="2024-12-31T00:00:00"/>
    <s v="Contract"/>
    <s v="RAYMOND NATER PEREZ"/>
    <s v="ARECIBO"/>
    <s v="Escuela Taller de Artesanías de Toa Baja"/>
    <x v="15"/>
    <n v="1440"/>
    <n v="0"/>
    <n v="1440"/>
    <n v="0"/>
    <s v="Programa de apoyo a empresarios minoritarios"/>
  </r>
  <r>
    <s v="FIE60-2023-2024-0044"/>
    <s v="2024-000815"/>
    <x v="99"/>
    <d v="2024-03-04T00:00:00"/>
    <d v="2024-12-31T00:00:00"/>
    <s v="Contract"/>
    <s v="ADALBERTO RIVERA SANTIAGO"/>
    <s v="SALINAS"/>
    <s v="Talleres Artesanales Plaza"/>
    <x v="15"/>
    <n v="1440"/>
    <n v="0"/>
    <n v="1440"/>
    <n v="0"/>
    <s v="Programa de apoyo a empresarios minoritarios"/>
  </r>
  <r>
    <s v="FIE60-2023-2024-0044"/>
    <s v="2024-000816"/>
    <x v="99"/>
    <d v="2024-03-04T00:00:00"/>
    <d v="2024-12-31T00:00:00"/>
    <s v="Contract"/>
    <s v="CARMEN M. RENTA GUTIERREZ"/>
    <s v="SAN JUAN"/>
    <s v="Talleres Artesanales Plaza"/>
    <x v="15"/>
    <n v="1440"/>
    <n v="0"/>
    <n v="1440"/>
    <n v="0"/>
    <s v="Programa de apoyo a empresarios minoritarios"/>
  </r>
  <r>
    <s v="FIE60-2023-2024-0044"/>
    <s v="2024-000818"/>
    <x v="99"/>
    <d v="2024-03-04T00:00:00"/>
    <d v="2024-12-31T00:00:00"/>
    <s v="Contract"/>
    <s v="RIOS GARCIA, MARITSSA"/>
    <s v="GURABO"/>
    <s v="Talleres Artesanales Plaza"/>
    <x v="15"/>
    <n v="1440"/>
    <n v="0"/>
    <n v="1440"/>
    <n v="0"/>
    <s v="Programa de apoyo a empresarios minoritarios"/>
  </r>
  <r>
    <s v="FIE60-2023-2024-0044"/>
    <s v="2024-000819"/>
    <x v="99"/>
    <d v="2024-03-04T00:00:00"/>
    <d v="2024-12-31T00:00:00"/>
    <s v="Contract"/>
    <s v="NORMA GOMEZ RODRIGUEZ"/>
    <s v="SABANA GRANDE"/>
    <s v="Talleres Artesanales Plaza"/>
    <x v="15"/>
    <n v="1440"/>
    <n v="0"/>
    <n v="1440"/>
    <n v="0"/>
    <s v="Programa de apoyo a empresarios minoritarios"/>
  </r>
  <r>
    <s v="FIE60-2023-2024-0044"/>
    <s v="2024-000820"/>
    <x v="99"/>
    <d v="2024-03-04T00:00:00"/>
    <d v="2024-12-31T00:00:00"/>
    <s v="Contract"/>
    <s v="BRENDALIS RODRIGUEZ TORRES"/>
    <s v="PONCE "/>
    <s v="Talleres Artesanales Plaza"/>
    <x v="15"/>
    <n v="1440"/>
    <n v="0"/>
    <n v="1320"/>
    <n v="120"/>
    <s v="Programa de apoyo a empresarios minoritarios"/>
  </r>
  <r>
    <s v="FIE60-2023-2024-0044"/>
    <s v="2024-000821"/>
    <x v="99"/>
    <d v="2024-03-04T00:00:00"/>
    <d v="2024-12-31T00:00:00"/>
    <s v="Contract"/>
    <s v="RAMON E. RIVERA CALIZ"/>
    <s v="PONCE "/>
    <s v="Talleres Artesanales Plaza"/>
    <x v="15"/>
    <n v="1440"/>
    <n v="0"/>
    <n v="1440"/>
    <n v="0"/>
    <s v="Programa de apoyo a empresarios minoritarios"/>
  </r>
  <r>
    <s v="FIE60-2023-2024-0044"/>
    <s v="2024-000822"/>
    <x v="99"/>
    <d v="2024-03-04T00:00:00"/>
    <d v="2024-12-31T00:00:00"/>
    <s v="Contract"/>
    <s v="GEORGE ROMERO NAVEDO"/>
    <s v="PONCE "/>
    <s v="Talleres Artesanales Plaza"/>
    <x v="15"/>
    <n v="1440"/>
    <n v="0"/>
    <n v="1440"/>
    <n v="0"/>
    <s v="Programa de apoyo a empresarios minoritarios"/>
  </r>
  <r>
    <s v="FIE60-2023-2024-0044"/>
    <s v="2024-000823"/>
    <x v="99"/>
    <d v="2024-03-04T00:00:00"/>
    <d v="2024-12-31T00:00:00"/>
    <s v="Contract"/>
    <s v="RIVERA ORTIZ, ANA W."/>
    <s v="VILLALBA"/>
    <s v="Talleres Artesanales Plaza"/>
    <x v="15"/>
    <n v="1440"/>
    <n v="0"/>
    <n v="1440"/>
    <n v="0"/>
    <s v="Programa de apoyo a empresarios minoritarios"/>
  </r>
  <r>
    <s v="FIE60-2023-2024-0044"/>
    <s v="2024-000824"/>
    <x v="99"/>
    <d v="2024-03-04T00:00:00"/>
    <d v="2024-12-31T00:00:00"/>
    <s v="Contract"/>
    <s v="PEREZ TORRES, JACKELINE"/>
    <s v="SANTA ISABEL"/>
    <s v="Talleres Artesanales Plaza"/>
    <x v="15"/>
    <n v="1440"/>
    <n v="0"/>
    <n v="1440"/>
    <n v="0"/>
    <s v="Programa de apoyo a empresarios minoritarios"/>
  </r>
  <r>
    <s v="FIE60-2023-2024-0044"/>
    <s v="2024-000831"/>
    <x v="99"/>
    <d v="2024-03-04T00:00:00"/>
    <d v="2024-12-31T00:00:00"/>
    <s v="Contract"/>
    <s v="IVETTE BOVER SEDA"/>
    <s v="MAYAGÜEZ"/>
    <s v="Talleres Artesanales Plaza"/>
    <x v="15"/>
    <n v="1440"/>
    <n v="0"/>
    <n v="1440"/>
    <n v="0"/>
    <s v="Programa de apoyo a empresarios minoritarios"/>
  </r>
  <r>
    <s v="FIE60-2023-2024-0051"/>
    <s v="2024-000826"/>
    <x v="99"/>
    <d v="2024-03-05T00:00:00"/>
    <d v="2025-05-31T00:00:00"/>
    <s v="Contract"/>
    <s v="NICOLE M. ISIDOR PAGAN"/>
    <s v="GUAYNABO"/>
    <s v="Beca Teodoro Moscoso Mora"/>
    <x v="16"/>
    <n v="15000"/>
    <n v="0"/>
    <n v="15000"/>
    <n v="0"/>
    <s v="Programa de apoyo a empresarios minoritarios"/>
  </r>
  <r>
    <s v="FIE60-2023-2024-0044"/>
    <s v="2024-000832"/>
    <x v="99"/>
    <d v="2024-03-05T00:00:00"/>
    <d v="2024-12-31T00:00:00"/>
    <s v="Contract"/>
    <s v="ARTURO ORTIZ CASTRO"/>
    <s v="GURABO"/>
    <s v="Renglón de Cestería"/>
    <x v="15"/>
    <n v="1440"/>
    <n v="0"/>
    <n v="1440"/>
    <n v="0"/>
    <s v="Programa de apoyo a empresarios minoritarios"/>
  </r>
  <r>
    <s v="FIE60-2023-2024-0188"/>
    <s v="2024-000827"/>
    <x v="117"/>
    <d v="2024-03-06T00:00:00"/>
    <d v="2027-03-05T00:00:00"/>
    <s v="Contract"/>
    <s v="EBANISTERIA VILLANUEVA, LLC"/>
    <s v="SANTA ISABEL"/>
    <s v="Manufactura de Muebles Hogar e Institucional "/>
    <x v="8"/>
    <n v="12000"/>
    <n v="0"/>
    <n v="0"/>
    <n v="12000"/>
    <n v="8.5399999999999991"/>
  </r>
  <r>
    <s v="FIE60-2023-2024-0189"/>
    <s v="2024-000828"/>
    <x v="117"/>
    <d v="2024-03-06T00:00:00"/>
    <d v="2029-03-05T00:00:00"/>
    <s v="Contract"/>
    <s v="EBANISTERIA VILLANUEVA, LLC"/>
    <s v="SANTA ISABEL"/>
    <s v="Manufactura de Muebles Hogar e Institucional "/>
    <x v="10"/>
    <n v="18000"/>
    <n v="0"/>
    <n v="0"/>
    <n v="18000"/>
    <n v="8.5399999999999991"/>
  </r>
  <r>
    <s v="FIE60-2023-2024-0053"/>
    <s v="2024-000833"/>
    <x v="99"/>
    <d v="2024-03-08T00:00:00"/>
    <d v="2024-06-30T00:00:00"/>
    <s v="Contract"/>
    <s v="DMC MONOLITHIC, INC."/>
    <s v="COMERIO"/>
    <s v="La Llamada"/>
    <x v="14"/>
    <n v="750"/>
    <n v="0"/>
    <n v="750"/>
    <n v="0"/>
    <s v="Auspicio"/>
  </r>
  <r>
    <s v="FIE60-2023-2024-0053"/>
    <s v="2024-000912"/>
    <x v="99"/>
    <d v="2024-03-08T00:00:00"/>
    <d v="2024-06-30T00:00:00"/>
    <s v="Contract"/>
    <s v="DMC MONOLITHIC, INC."/>
    <s v="COMERIO"/>
    <s v="Proyecto fílmico &quot;La Llamada&quot;"/>
    <x v="14"/>
    <n v="1000"/>
    <n v="0"/>
    <n v="1000"/>
    <n v="0"/>
    <s v="Auspicio"/>
  </r>
  <r>
    <s v="FIE60-2023-2024-0053"/>
    <s v="2024-000836"/>
    <x v="99"/>
    <d v="2024-03-11T00:00:00"/>
    <d v="2024-06-30T00:00:00"/>
    <s v="Contract"/>
    <s v="PUERTO RICO QUEER FILMFEST, INC."/>
    <s v="SAN JUAN"/>
    <s v="&quot;Puerto Rico Queer Film Fest 2024&quot;"/>
    <x v="14"/>
    <n v="10000"/>
    <n v="0"/>
    <n v="9500"/>
    <n v="500"/>
    <s v="Auspicio"/>
  </r>
  <r>
    <s v="FIE60-2023-2024-0051"/>
    <s v="2024-000838"/>
    <x v="99"/>
    <d v="2024-03-11T00:00:00"/>
    <d v="2026-05-31T00:00:00"/>
    <s v="Contract"/>
    <s v="MAELIS M. LUGO RODRIGUEZ"/>
    <s v="SAN JUAN"/>
    <s v="Beca Teodoro Moscoso Mora"/>
    <x v="16"/>
    <n v="25000"/>
    <n v="0"/>
    <n v="15000"/>
    <n v="10000"/>
    <s v="Programa de apoyo a empresarios minoritarios"/>
  </r>
  <r>
    <s v="FIE60-2023-2024-0044"/>
    <s v="2024-000841"/>
    <x v="99"/>
    <d v="2024-03-11T00:00:00"/>
    <d v="2024-12-31T00:00:00"/>
    <s v="Contract"/>
    <s v="VINCENTY LUGO, ELIZA"/>
    <s v="LAJAS"/>
    <s v="Talleres Artesanales Plaza"/>
    <x v="15"/>
    <n v="1440"/>
    <n v="0"/>
    <n v="1440"/>
    <n v="0"/>
    <s v="Programa de apoyo a empresarios minoritarios"/>
  </r>
  <r>
    <s v="FIE60-2023-2024-0044"/>
    <s v="2024-000842"/>
    <x v="99"/>
    <d v="2024-03-11T00:00:00"/>
    <d v="2024-12-31T00:00:00"/>
    <s v="Contract"/>
    <s v="MALDONADO MEJIAS, SARAH"/>
    <s v="ADJUNTAS"/>
    <s v="Talleres Artesanales Plaza"/>
    <x v="15"/>
    <n v="1440"/>
    <n v="0"/>
    <n v="1440"/>
    <n v="0"/>
    <s v="Programa de apoyo a empresarios minoritarios"/>
  </r>
  <r>
    <s v="FIE60-2023-2024-0044"/>
    <s v="2024-000843"/>
    <x v="99"/>
    <d v="2024-03-11T00:00:00"/>
    <d v="2024-12-31T00:00:00"/>
    <s v="Contract"/>
    <s v="YAMILKA GARCIA MEJIAS"/>
    <s v="PONCE "/>
    <s v="Talleres Artesanales Plaza"/>
    <x v="15"/>
    <n v="1440"/>
    <n v="0"/>
    <n v="1440"/>
    <n v="0"/>
    <s v="Programa de apoyo a empresarios minoritarios"/>
  </r>
  <r>
    <s v="FIE60-2023-2024-0155"/>
    <s v="2024-000477-A"/>
    <x v="112"/>
    <d v="2024-03-12T00:00:00"/>
    <d v="2028-11-26T00:00:00"/>
    <s v="Contract"/>
    <s v="HAMILTON SUNDSTRAND DE PR INC."/>
    <s v="AGUADILLA"/>
    <s v="Tareas de trabajo clasificado y no clasificado para el Dpto. de la Defensa de los E.U."/>
    <x v="8"/>
    <n v="1225000"/>
    <n v="0"/>
    <n v="698250"/>
    <n v="526750"/>
    <n v="2.6"/>
  </r>
  <r>
    <s v="FIE60-2023-2024-0156"/>
    <s v="2024-000478-A"/>
    <x v="112"/>
    <d v="2024-03-12T00:00:00"/>
    <d v="2028-11-26T00:00:00"/>
    <s v="Contract"/>
    <s v="HAMILTON SUNDSTRAND DE PR INC."/>
    <s v="AGUADILLA"/>
    <s v="Tareas de trabajo clasificado y no clasificado para el Dpto. de la Defensa de los E.U."/>
    <x v="10"/>
    <n v="126000"/>
    <n v="0"/>
    <n v="0"/>
    <n v="126000"/>
    <n v="2.6"/>
  </r>
  <r>
    <s v="FIE60-2023-2024-0218"/>
    <s v="2024-000844"/>
    <x v="118"/>
    <d v="2024-03-12T00:00:00"/>
    <d v="2029-03-11T00:00:00"/>
    <s v="Contract"/>
    <s v="INFOSENSE, LLC"/>
    <s v="AGUADILLA"/>
    <s v="Centro de llamadas "/>
    <x v="8"/>
    <n v="393750"/>
    <n v="0"/>
    <n v="52237.5"/>
    <n v="341512.5"/>
    <n v="17.48"/>
  </r>
  <r>
    <s v="FIE60-2023-2024-0224"/>
    <s v="2024-000845"/>
    <x v="118"/>
    <d v="2024-03-12T00:00:00"/>
    <d v="2029-03-11T00:00:00"/>
    <s v="Contract"/>
    <s v="GSD MARBLE, INC."/>
    <s v="BAYAMON"/>
    <s v="Manufactura de topes en cuarzo y granito para cocinas y barios"/>
    <x v="8"/>
    <n v="18750"/>
    <n v="0"/>
    <n v="0"/>
    <n v="18750"/>
    <n v="6.76"/>
  </r>
  <r>
    <s v="FIE60-2023-2024-0226"/>
    <s v="2024-000847"/>
    <x v="118"/>
    <d v="2024-03-12T00:00:00"/>
    <d v="2029-03-11T00:00:00"/>
    <s v="Contract"/>
    <s v="JR FAST DIGITAL PRINTING, INC"/>
    <s v="SAN JUAN"/>
    <s v="Manufactura de impresos digitales y productos relacionados"/>
    <x v="10"/>
    <n v="26424"/>
    <n v="0"/>
    <n v="26424"/>
    <n v="0"/>
    <n v="9.81"/>
  </r>
  <r>
    <s v="FIE60-2023-2024-0178"/>
    <s v="2024-000848"/>
    <x v="117"/>
    <d v="2024-03-12T00:00:00"/>
    <d v="2027-03-11T00:00:00"/>
    <s v="Contract"/>
    <s v="PHYSICAL THERAPY SERVICES INC"/>
    <s v="MANATI"/>
    <s v="Manufactura de protesis, ortesis y servicios relacionados a equipos medicos"/>
    <x v="10"/>
    <n v="170000"/>
    <n v="0"/>
    <n v="0"/>
    <n v="170000"/>
    <n v="11.81"/>
  </r>
  <r>
    <s v="FIE60-2023-2024-0051"/>
    <s v="2024-000849"/>
    <x v="99"/>
    <d v="2024-03-12T00:00:00"/>
    <d v="2024-12-31T00:00:00"/>
    <s v="Contract"/>
    <s v="IAN MARCO RIVERA LOPEZ"/>
    <s v="SAN JUAN"/>
    <s v="Beca Teodoro Moscoso Mora"/>
    <x v="16"/>
    <n v="10000"/>
    <n v="0"/>
    <n v="10000"/>
    <n v="0"/>
    <s v="Programa de apoyo a empresarios minoritarios"/>
  </r>
  <r>
    <s v="FIE60-2023-2024-0044"/>
    <s v="2024-000853"/>
    <x v="99"/>
    <d v="2024-03-14T00:00:00"/>
    <d v="2024-12-31T00:00:00"/>
    <s v="Contract"/>
    <s v="MARIA A. MENDEZ SISCO"/>
    <s v="JUNCOS"/>
    <s v="Escuela taller de artesanías, Región Portal del Este"/>
    <x v="15"/>
    <n v="1440"/>
    <n v="0"/>
    <n v="1440"/>
    <n v="0"/>
    <s v="Programa de apoyo a empresarios minoritarios"/>
  </r>
  <r>
    <s v="FIE60-2023-2024-0044"/>
    <s v="2024-000854"/>
    <x v="99"/>
    <d v="2024-03-14T00:00:00"/>
    <d v="2024-12-31T00:00:00"/>
    <s v="Contract"/>
    <s v="YANIREE OLMEDA ALEJANDRO"/>
    <s v="HUMACAO"/>
    <s v="Escuela taller de artesanías, Región Portal del Este"/>
    <x v="15"/>
    <n v="1440"/>
    <n v="0"/>
    <n v="1440"/>
    <n v="0"/>
    <s v="Programa de apoyo a empresarios minoritarios"/>
  </r>
  <r>
    <s v="FIE60-2023-2024-0044"/>
    <s v="2024-000855"/>
    <x v="99"/>
    <d v="2024-03-14T00:00:00"/>
    <d v="2024-12-31T00:00:00"/>
    <s v="Contract"/>
    <s v="LYMARYS TORRES RIVERA"/>
    <s v="HUMACAO"/>
    <s v="Escuela taller de artesanías, Región Portal del Este"/>
    <x v="15"/>
    <n v="1440"/>
    <n v="0"/>
    <n v="1440"/>
    <n v="0"/>
    <s v="Programa de apoyo a empresarios minoritarios"/>
  </r>
  <r>
    <s v="FIE60-2023-2024-0044"/>
    <s v="2024-000856"/>
    <x v="99"/>
    <d v="2024-03-14T00:00:00"/>
    <d v="2024-12-31T00:00:00"/>
    <s v="Contract"/>
    <s v="IVETTE SANTIAGO NEGRON"/>
    <s v="LAS PIEDRAS"/>
    <s v="Escuela taller de artesanías, Región Portal del Este"/>
    <x v="15"/>
    <n v="1440"/>
    <n v="0"/>
    <n v="1440"/>
    <n v="0"/>
    <s v="Programa de apoyo a empresarios minoritarios"/>
  </r>
  <r>
    <s v="FIE60-2023-2024-0044"/>
    <s v="2024-000857"/>
    <x v="99"/>
    <d v="2024-03-14T00:00:00"/>
    <d v="2024-12-31T00:00:00"/>
    <s v="Contract"/>
    <s v="IRIS RODRIGUEZ FERNANDEZ"/>
    <s v="CAROLINA"/>
    <s v="Escuela taller de artesanías, Región Portal del Este"/>
    <x v="15"/>
    <n v="1440"/>
    <n v="0"/>
    <n v="1440"/>
    <n v="0"/>
    <s v="Programa de apoyo a empresarios minoritarios"/>
  </r>
  <r>
    <s v="FIE60-2023-2024-0068"/>
    <s v="2024-000851"/>
    <x v="99"/>
    <d v="2024-03-15T00:00:00"/>
    <d v="2025-09-14T00:00:00"/>
    <s v="Contract"/>
    <s v="LATINA TASTE MAKER LLC"/>
    <s v="DORADO"/>
    <s v="Bebidas y Alimentos"/>
    <x v="31"/>
    <n v="10000"/>
    <n v="0"/>
    <n v="952.5"/>
    <n v="9047.5"/>
    <s v="Programa de apoyo a empresarios minoritarios"/>
  </r>
  <r>
    <s v="FIE60-2023-2024-0068"/>
    <s v="2024-000852"/>
    <x v="99"/>
    <d v="2024-03-15T00:00:00"/>
    <d v="2025-09-14T00:00:00"/>
    <s v="Contract"/>
    <s v="JJ ELDERLY SERVICES CORP."/>
    <s v="SAN LORENZO"/>
    <s v="Hogar de Envejecientes y Salud Mental"/>
    <x v="31"/>
    <n v="10000"/>
    <n v="0"/>
    <n v="0"/>
    <n v="10000"/>
    <s v="Programa de apoyo a empresarios minoritarios"/>
  </r>
  <r>
    <s v="FIE60-2023-2024-0051"/>
    <s v="2024-000860"/>
    <x v="99"/>
    <d v="2024-03-15T00:00:00"/>
    <d v="2027-12-31T00:00:00"/>
    <s v="Contract"/>
    <s v="BIANCA S. NEGRON MARCANO"/>
    <s v="SAN JUAN"/>
    <s v="Beca Teodoro Moscoso Mora"/>
    <x v="16"/>
    <n v="40000"/>
    <n v="0"/>
    <n v="15000"/>
    <n v="25000"/>
    <s v="Programa de apoyo a empresarios minoritarios"/>
  </r>
  <r>
    <s v="FIE60-2023-2024-0051"/>
    <s v="2024-000861"/>
    <x v="99"/>
    <d v="2024-03-15T00:00:00"/>
    <d v="2027-12-31T00:00:00"/>
    <s v="Contract"/>
    <s v="ANDREA SOFIA ROSARIO ROMAN"/>
    <s v="DORADO"/>
    <s v="Beca Teodoro Moscoso Mora"/>
    <x v="16"/>
    <n v="40000"/>
    <n v="0"/>
    <n v="15000"/>
    <n v="25000"/>
    <s v="Programa de apoyo a empresarios minoritarios"/>
  </r>
  <r>
    <s v="FIE60-2023-2024-0051"/>
    <s v="2024-000862"/>
    <x v="99"/>
    <d v="2024-03-15T00:00:00"/>
    <d v="2026-05-31T00:00:00"/>
    <s v="Contract"/>
    <s v="DAVID A. BAEZ BRAVO"/>
    <s v="SAN JUAN"/>
    <s v="Beca Teodoro Moscoso Mora"/>
    <x v="16"/>
    <n v="30000"/>
    <n v="0"/>
    <n v="15000"/>
    <n v="15000"/>
    <s v="Programa de apoyo a empresarios minoritarios"/>
  </r>
  <r>
    <s v="FIE60-2023-2024-0043"/>
    <s v="2024-000866"/>
    <x v="99"/>
    <d v="2024-03-15T00:00:00"/>
    <d v="2027-03-14T00:00:00"/>
    <s v="Contract"/>
    <s v="CARLOS R. RITTER GARCIA"/>
    <s v="HUMACAO"/>
    <s v="Renglón de madera"/>
    <x v="15"/>
    <n v="2000"/>
    <n v="0"/>
    <n v="2000"/>
    <n v="0"/>
    <s v="Programa de apoyo a empresarios minoritarios"/>
  </r>
  <r>
    <s v="FIE60-2023-2024-0043"/>
    <s v="2024-000867"/>
    <x v="99"/>
    <d v="2024-03-15T00:00:00"/>
    <d v="2027-03-14T00:00:00"/>
    <s v="Contract"/>
    <s v="MARISA CARRASQUILLO COLON"/>
    <s v="PATILLAS"/>
    <s v="Renglón de macramé"/>
    <x v="15"/>
    <n v="1000"/>
    <n v="0"/>
    <n v="1000"/>
    <n v="0"/>
    <s v="Programa de apoyo a empresarios minoritarios"/>
  </r>
  <r>
    <s v="FIE60-2023-2024-0214"/>
    <s v="2024-000882"/>
    <x v="118"/>
    <d v="2024-03-17T00:00:00"/>
    <d v="2027-03-16T00:00:00"/>
    <s v="Contract"/>
    <s v="COCKTAIL FACTORY CORP"/>
    <s v="SAN JUAN"/>
    <s v="Elaboración, procesamiento y distribucion de salsas y bebidas refrescantes con y sin alcohol"/>
    <x v="10"/>
    <n v="8000"/>
    <n v="0"/>
    <n v="0"/>
    <n v="8000"/>
    <n v="34.81"/>
  </r>
  <r>
    <s v="FIE60-2023-2024-0213"/>
    <s v="2024-000883"/>
    <x v="118"/>
    <d v="2024-03-17T00:00:00"/>
    <d v="2027-03-16T00:00:00"/>
    <s v="Contract"/>
    <s v="COCKTAIL FACTORY CORP"/>
    <s v="SAN JUAN"/>
    <s v="Elaboración, procesamiento y distribucion de salsas y bebidas refrescantes con y sin alcohol"/>
    <x v="8"/>
    <n v="2250"/>
    <n v="0"/>
    <n v="0"/>
    <n v="2250"/>
    <n v="34.81"/>
  </r>
  <r>
    <s v="FIE60-2023-2024-0180"/>
    <s v="2024-000884"/>
    <x v="117"/>
    <d v="2024-03-17T00:00:00"/>
    <d v="2029-03-16T00:00:00"/>
    <s v="Contract"/>
    <s v="PRIME AIR CORP."/>
    <s v="CAROLINA"/>
    <s v="Drogas y preparaciones farmacéuticas"/>
    <x v="10"/>
    <n v="483000"/>
    <n v="0"/>
    <n v="0"/>
    <n v="483000"/>
    <n v="8.7100000000000009"/>
  </r>
  <r>
    <s v="FIE60-2023-2024-0236"/>
    <s v="2024-000885"/>
    <x v="119"/>
    <d v="2024-03-17T00:00:00"/>
    <d v="2029-03-16T00:00:00"/>
    <s v="Contract"/>
    <s v="KC AND MORE LLC"/>
    <s v="BARRANQUITAS"/>
    <s v="Manufactura de Muebles Hogar e Institucional "/>
    <x v="10"/>
    <n v="50000"/>
    <n v="0"/>
    <n v="0"/>
    <n v="50000"/>
    <n v="6.58"/>
  </r>
  <r>
    <s v="FIE60-2023-2024-0187"/>
    <s v="2024-000835"/>
    <x v="117"/>
    <d v="2024-03-18T00:00:00"/>
    <d v="2029-03-17T00:00:00"/>
    <s v="Contract"/>
    <s v="LATIN FOODS GROUP LLC"/>
    <s v="SAN JUAN"/>
    <s v="Productos misceláneos de alimentos "/>
    <x v="10"/>
    <n v="105251"/>
    <n v="0"/>
    <n v="0"/>
    <n v="105251"/>
    <n v="2.72"/>
  </r>
  <r>
    <s v="FIE60-2023-2024-0184"/>
    <s v="2024-000858"/>
    <x v="117"/>
    <d v="2024-03-18T00:00:00"/>
    <d v="2019-03-17T00:00:00"/>
    <s v="Contract"/>
    <s v="OMICS GLOBAL SOLUTIONS, INC"/>
    <s v="SAN JUAN"/>
    <s v="Drogas y preparaciones farmacéuticas "/>
    <x v="8"/>
    <n v="60000"/>
    <n v="0"/>
    <n v="0"/>
    <n v="60000"/>
    <n v="9.9499999999999993"/>
  </r>
  <r>
    <s v="FIE60-2023-2024-0185"/>
    <s v="2024-000859"/>
    <x v="117"/>
    <d v="2024-03-18T00:00:00"/>
    <d v="2029-03-17T00:00:00"/>
    <s v="Contract"/>
    <s v="OMICS GLOBAL SOLUTIONS, INC"/>
    <s v="SAN JUAN"/>
    <s v="Drogas y preparaciones farmacéuticas "/>
    <x v="10"/>
    <n v="250500"/>
    <n v="0"/>
    <n v="0"/>
    <n v="250500"/>
    <n v="9.9499999999999993"/>
  </r>
  <r>
    <s v="FIE60-2023-2024-0043"/>
    <s v="2024-000871"/>
    <x v="99"/>
    <d v="2024-03-18T00:00:00"/>
    <d v="2027-03-17T00:00:00"/>
    <s v="Contract"/>
    <s v="PAULA MORAGON CARRERO"/>
    <s v="LAS MARIAS"/>
    <s v="Renglón de barro"/>
    <x v="15"/>
    <n v="1000"/>
    <n v="0"/>
    <n v="1000"/>
    <n v="0"/>
    <s v="Programa de apoyo a empresarios minoritarios"/>
  </r>
  <r>
    <s v="FIE60-2023-2024-0044"/>
    <s v="2024-000872"/>
    <x v="99"/>
    <d v="2024-03-18T00:00:00"/>
    <d v="2025-03-14T00:00:00"/>
    <s v="Contract"/>
    <s v="MUNICIPIO DE LAS MARIAS"/>
    <s v="LAS MARIAS"/>
    <s v="Trigésima Sexta (36) edición del Festival de Las Marías en Honor a la China Dulce"/>
    <x v="15"/>
    <n v="4100"/>
    <n v="0"/>
    <n v="4100"/>
    <n v="0"/>
    <s v="Programa de apoyo a empresarios minoritarios"/>
  </r>
  <r>
    <s v="FIE60-2023-2024-0044"/>
    <s v="2024-000873"/>
    <x v="99"/>
    <d v="2024-03-18T00:00:00"/>
    <d v="2025-03-16T00:00:00"/>
    <s v="Contract"/>
    <s v="MUNICIPIO DE AIBONITO"/>
    <s v="AIBONITO"/>
    <s v="Séptimo Certamen de Talla en madera en honor a San José, Patrón de Aibonito"/>
    <x v="15"/>
    <n v="2300"/>
    <n v="0"/>
    <n v="800"/>
    <n v="1500"/>
    <s v="Programa de apoyo a empresarios minoritarios"/>
  </r>
  <r>
    <s v="FIE60-2023-2024-0051"/>
    <s v="2024-000874"/>
    <x v="99"/>
    <d v="2024-03-18T00:00:00"/>
    <d v="2025-05-31T00:00:00"/>
    <s v="Contract"/>
    <s v="ISANLERIE NADUIS GONZALEZ VEGA"/>
    <s v="QUEBRADILLAS"/>
    <s v="Beca Teodoro Moscoso Mora"/>
    <x v="16"/>
    <n v="15000"/>
    <n v="0"/>
    <n v="10000"/>
    <n v="5000"/>
    <s v="Programa de apoyo a empresarios minoritarios"/>
  </r>
  <r>
    <s v="FIE60-2023-2024-0051"/>
    <s v="2024-000875"/>
    <x v="99"/>
    <d v="2024-03-18T00:00:00"/>
    <d v="2026-12-31T00:00:00"/>
    <s v="Contract"/>
    <s v="CLARYMAR FIGUEROA VEGA"/>
    <s v="TOA ALTA"/>
    <s v="Beca Teodoro Moscoso Mora"/>
    <x v="16"/>
    <n v="30000"/>
    <n v="0"/>
    <n v="15000"/>
    <n v="15000"/>
    <s v="Programa de apoyo a empresarios minoritarios"/>
  </r>
  <r>
    <s v="FIE60-2023-2024-0053"/>
    <s v="2024-000876"/>
    <x v="99"/>
    <d v="2024-03-19T00:00:00"/>
    <d v="2024-06-30T00:00:00"/>
    <s v="Contract"/>
    <s v="PHILLIP ESCOBAR JUNG"/>
    <s v="SAN JUAN"/>
    <s v="La Línea Imaginaria"/>
    <x v="14"/>
    <n v="10000"/>
    <n v="0"/>
    <n v="10000"/>
    <n v="0"/>
    <s v="Auspicio"/>
  </r>
  <r>
    <s v="FIE60-2023-2024-0068"/>
    <s v="2024-000878"/>
    <x v="99"/>
    <d v="2024-03-20T00:00:00"/>
    <d v="2025-09-19T00:00:00"/>
    <s v="Contract"/>
    <s v="A MANAGEMENT GROUP PSC"/>
    <s v="CABO ROJO"/>
    <s v="Servicios gerenciales y administrativos para PyMEs"/>
    <x v="31"/>
    <n v="10000"/>
    <n v="0"/>
    <n v="0"/>
    <n v="10000"/>
    <s v="Programa de apoyo a empresarios minoritarios"/>
  </r>
  <r>
    <s v="FIE60-2023-2024-0043"/>
    <s v="2024-000879"/>
    <x v="99"/>
    <d v="2024-03-20T00:00:00"/>
    <d v="2027-03-19T00:00:00"/>
    <s v="Contract"/>
    <s v="JOSE RENE MORETA REBOLLO"/>
    <s v="CAROLINA"/>
    <s v="Renglón de metal"/>
    <x v="15"/>
    <n v="1000"/>
    <n v="0"/>
    <n v="1000"/>
    <n v="0"/>
    <s v="Programa de apoyo a empresarios minoritarios"/>
  </r>
  <r>
    <s v="FIE60-2023-2024-0215"/>
    <s v="2024-000886"/>
    <x v="118"/>
    <d v="2024-03-20T00:00:00"/>
    <d v="2027-03-19T00:00:00"/>
    <s v="Contract"/>
    <s v="PUERTO RICO CHOCOLATE CORPORATION"/>
    <s v="AGUADILLA"/>
    <s v="Confeccion de productos derivados de cacao, tales como chocolate, cosmeticos, sin limitarse a los mismos."/>
    <x v="8"/>
    <n v="11812.5"/>
    <n v="0"/>
    <n v="0"/>
    <n v="11812.5"/>
    <n v="1.68"/>
  </r>
  <r>
    <s v="FIE60-2023-2024-0221"/>
    <s v="2024-000887"/>
    <x v="118"/>
    <d v="2024-03-20T00:00:00"/>
    <d v="2027-03-19T00:00:00"/>
    <s v="Contract"/>
    <s v="SEMILA, LLC"/>
    <s v="BARCELONETA"/>
    <s v="Manufactura miscelánea"/>
    <x v="10"/>
    <n v="53000"/>
    <n v="0"/>
    <n v="0"/>
    <n v="53000"/>
    <n v="1"/>
  </r>
  <r>
    <s v="FIE60-2023-2024-0220"/>
    <s v="2024-000888"/>
    <x v="118"/>
    <d v="2024-03-20T00:00:00"/>
    <d v="2027-03-19T00:00:00"/>
    <s v="Contract"/>
    <s v="SEMILA, LLC"/>
    <s v="BARCELONETA"/>
    <s v="Manufactura miscelánea"/>
    <x v="8"/>
    <n v="7500"/>
    <n v="0"/>
    <n v="0"/>
    <n v="7500"/>
    <n v="1"/>
  </r>
  <r>
    <s v="FIE60-2023-2024-0043"/>
    <s v="2024-000890"/>
    <x v="120"/>
    <d v="2024-03-21T00:00:00"/>
    <d v="2027-03-20T00:00:00"/>
    <s v="Contract"/>
    <s v="JAVIER A BURGOS QUIRINDONGO"/>
    <s v="SAN JUAN"/>
    <s v="Renglón de macramé"/>
    <x v="15"/>
    <n v="1000"/>
    <n v="0"/>
    <n v="0"/>
    <n v="1000"/>
    <s v="Programa de apoyo a empresarios minoritarios"/>
  </r>
  <r>
    <s v="FIE60-2023-2024-0051"/>
    <s v="2024-000892"/>
    <x v="99"/>
    <d v="2024-03-22T00:00:00"/>
    <d v="2027-12-31T00:00:00"/>
    <s v="Contract"/>
    <s v="GABRIEL S MEDINA ORTIZ"/>
    <s v="SAN JUAN"/>
    <s v="Beca Teodoro Moscoso Mora"/>
    <x v="16"/>
    <n v="40000"/>
    <n v="0"/>
    <n v="10000"/>
    <n v="30000"/>
    <s v="Programa de apoyo a empresarios minoritarios"/>
  </r>
  <r>
    <s v="FIE60-2023-2024-0068"/>
    <s v="2024-000893"/>
    <x v="99"/>
    <d v="2024-03-22T00:00:00"/>
    <d v="2025-09-21T00:00:00"/>
    <s v="Contract"/>
    <s v="GLAM GROUP LLC"/>
    <s v="SAN JUAN"/>
    <s v="Servicio de Belleza"/>
    <x v="31"/>
    <n v="10000"/>
    <n v="0"/>
    <n v="0"/>
    <n v="10000"/>
    <s v="Programa de apoyo a empresarios minoritarios"/>
  </r>
  <r>
    <s v="FIE60-2023-2024-0068"/>
    <s v="2024-000894"/>
    <x v="99"/>
    <d v="2024-03-22T00:00:00"/>
    <d v="2024-09-21T00:00:00"/>
    <s v="Contract"/>
    <s v="INNET CONNECTION INCORPORATED"/>
    <s v="VEGA ALTA"/>
    <s v="Servicio de solución integral para necesidad tecnológica"/>
    <x v="31"/>
    <n v="10000"/>
    <n v="0"/>
    <n v="401"/>
    <n v="9599"/>
    <s v="Programa de apoyo a empresarios minoritarios"/>
  </r>
  <r>
    <s v="FIE60-2023-2024-0068"/>
    <s v="2024-000895"/>
    <x v="99"/>
    <d v="2024-03-22T00:00:00"/>
    <d v="2025-09-21T00:00:00"/>
    <s v="Contract"/>
    <s v="GRUA ANDINO, INC."/>
    <s v="CAGUAS"/>
    <s v="Remolques de vehículos"/>
    <x v="31"/>
    <n v="5000"/>
    <n v="0"/>
    <n v="0"/>
    <n v="5000"/>
    <s v="Programa de apoyo a empresarios minoritarios"/>
  </r>
  <r>
    <s v="FIE60-2023-2024-0068"/>
    <s v="2024-000896"/>
    <x v="99"/>
    <d v="2024-03-22T00:00:00"/>
    <d v="2025-09-21T00:00:00"/>
    <s v="Contract"/>
    <s v="BEAUTIFUL SMILE DENTAL OFFICE LLC"/>
    <s v="MAYAGÜEZ"/>
    <s v="Productos v Servicios dentales"/>
    <x v="31"/>
    <n v="10000"/>
    <n v="0"/>
    <n v="0"/>
    <n v="10000"/>
    <s v="Programa de apoyo a empresarios minoritarios"/>
  </r>
  <r>
    <s v="FIE60-2023-2024-0068"/>
    <s v="2024-000897"/>
    <x v="99"/>
    <d v="2024-03-22T00:00:00"/>
    <d v="2025-09-21T00:00:00"/>
    <s v="Contract"/>
    <s v="RMD PHARMACEUTICAL CORP."/>
    <s v="CAGUAS"/>
    <s v="Servicio de venta de equipo médico v equipo para estetica"/>
    <x v="31"/>
    <n v="10000"/>
    <n v="0"/>
    <n v="0"/>
    <n v="10000"/>
    <s v="Programa de apoyo a empresarios minoritarios"/>
  </r>
  <r>
    <s v="FIE60-2023-2024-0068"/>
    <s v="2024-000898"/>
    <x v="99"/>
    <d v="2024-03-22T00:00:00"/>
    <d v="2024-09-21T00:00:00"/>
    <s v="Contract"/>
    <s v="BUSINESS ATELIER, LLC"/>
    <s v="SAN JUAN"/>
    <s v="Servicios de contabilidad, impuestos. recursos humanos. consultoría de desarrollo de negocio acceso a capital"/>
    <x v="31"/>
    <n v="10000"/>
    <n v="0"/>
    <n v="0"/>
    <n v="10000"/>
    <s v="Programa de apoyo a empresarios minoritarios"/>
  </r>
  <r>
    <s v="FIE60-2023-2024-0068"/>
    <s v="2024-000899"/>
    <x v="99"/>
    <d v="2024-03-25T00:00:00"/>
    <d v="2025-09-24T00:00:00"/>
    <s v="Contract"/>
    <s v="ANGEL L VILLEGAS TORRES"/>
    <s v="GUAYNABO"/>
    <s v="Servicios empresariales y sistematización comercial"/>
    <x v="31"/>
    <n v="10000"/>
    <n v="0"/>
    <n v="0"/>
    <n v="10000"/>
    <s v="Programa de apoyo a empresarios minoritarios"/>
  </r>
  <r>
    <s v="FIE60-2023-2024-0068"/>
    <s v="2024-000900"/>
    <x v="99"/>
    <d v="2024-03-25T00:00:00"/>
    <d v="2025-09-24T00:00:00"/>
    <s v="Contract"/>
    <s v="PERFECT BROWS DESIGN PR"/>
    <s v="BAYAMON"/>
    <s v="Servicio de Micropigmentación de cejas y talleres a estudiantes"/>
    <x v="31"/>
    <n v="10000"/>
    <n v="0"/>
    <n v="3945.1"/>
    <n v="6054.9"/>
    <s v="Programa de apoyo a empresarios minoritarios"/>
  </r>
  <r>
    <s v="FIE60-2023-2024-0186"/>
    <s v="2024-000909"/>
    <x v="117"/>
    <d v="2024-03-25T00:00:00"/>
    <d v="2020-03-24T00:00:00"/>
    <s v="Contract"/>
    <s v="LATIN FOODS GROUP LLC"/>
    <s v="SAN JUAN"/>
    <s v="Manufactura de alimentos preparados refrigerados para venta local y exportacion"/>
    <x v="8"/>
    <n v="6000"/>
    <n v="0"/>
    <n v="0"/>
    <n v="6000"/>
    <n v="2.72"/>
  </r>
  <r>
    <s v="FIE60-2023-2024-0043"/>
    <s v="2024-000903"/>
    <x v="99"/>
    <d v="2024-03-26T00:00:00"/>
    <d v="2027-03-25T00:00:00"/>
    <s v="Contract"/>
    <s v="MAYRA J. FALCON ALVAREZ"/>
    <s v="VEGA BAJA"/>
    <s v="Renglón de cuero"/>
    <x v="15"/>
    <n v="1000"/>
    <n v="0"/>
    <n v="1000"/>
    <n v="0"/>
    <s v="Programa de apoyo a empresarios minoritarios"/>
  </r>
  <r>
    <s v="FIE60-2023-2024-0043"/>
    <s v="2024-000907"/>
    <x v="121"/>
    <d v="2024-03-27T00:00:00"/>
    <d v="2027-03-26T00:00:00"/>
    <s v="Contract"/>
    <s v="MARIA J PEREZ PADILLA"/>
    <s v="TOA ALTA"/>
    <s v="Artesanías puertorriqueñas"/>
    <x v="15"/>
    <n v="1848.3"/>
    <n v="0"/>
    <n v="1848.3"/>
    <n v="0"/>
    <s v="Programa de apoyo a empresarios minoritarios"/>
  </r>
  <r>
    <s v="FIE60-2023-2024-0173"/>
    <s v="2024-000910"/>
    <x v="122"/>
    <d v="2024-04-02T00:00:00"/>
    <d v="2029-04-01T00:00:00"/>
    <s v="Contract"/>
    <s v="WJ AUTOMATION &amp; INTEGRATION CORP"/>
    <s v="AGUADILLA"/>
    <s v="Fabricación de maquinas automatizadas enfocadas en la integración de soluciones en los procesos de manufactura."/>
    <x v="8"/>
    <n v="87500"/>
    <n v="0"/>
    <n v="0"/>
    <n v="87500"/>
    <n v="4.7699999999999996"/>
  </r>
  <r>
    <s v="FIE60-2023-2024-0174"/>
    <s v="2024-000911"/>
    <x v="122"/>
    <d v="2024-04-02T00:00:00"/>
    <d v="2029-04-01T00:00:00"/>
    <s v="Contract"/>
    <s v="WJ AUTOMATION &amp; INTEGRATION CORP"/>
    <s v="AGUADILLA"/>
    <s v="Fabricación de maquinas automatizadas enfocadas en la integración de soluciones en los procesos de manufactura."/>
    <x v="10"/>
    <n v="139800"/>
    <n v="0"/>
    <n v="0"/>
    <n v="139800"/>
    <n v="4.7699999999999996"/>
  </r>
  <r>
    <s v="FIE60-2023-2024-0068"/>
    <s v="2024-000913"/>
    <x v="99"/>
    <d v="2024-04-03T00:00:00"/>
    <d v="2025-10-02T00:00:00"/>
    <s v="Contract"/>
    <s v="HY COMPANY LLC"/>
    <s v="SAN JUAN"/>
    <s v="Tienda de mantecados y wafles"/>
    <x v="31"/>
    <n v="9000"/>
    <n v="0"/>
    <n v="0"/>
    <n v="9000"/>
    <s v="Programa de apoyo a empresarios minoritarios"/>
  </r>
  <r>
    <s v="FIE60-2023-2024-0051"/>
    <s v="2024-000914"/>
    <x v="99"/>
    <d v="2024-04-03T00:00:00"/>
    <d v="2027-12-31T00:00:00"/>
    <s v="Contract"/>
    <s v="JOSE A RIVERA TOLEDO"/>
    <s v="YABUCOA"/>
    <s v="Beca Teodoro Moscoso Mora"/>
    <x v="16"/>
    <n v="40000"/>
    <n v="0"/>
    <n v="15000"/>
    <n v="25000"/>
    <s v="Programa de apoyo a empresarios minoritarios"/>
  </r>
  <r>
    <s v="FIE60-2023-2024-0068"/>
    <s v="2024-000919"/>
    <x v="99"/>
    <d v="2024-04-05T00:00:00"/>
    <d v="2025-10-04T00:00:00"/>
    <s v="Contract"/>
    <s v="JACKELINE MARTINO CABRERA H/N/C JACKELINE MARTINO PERMANENT MAKE UP &amp; BEAUTY"/>
    <s v="BAYAMON"/>
    <s v="Belleza y Micropigmentación"/>
    <x v="31"/>
    <n v="10000"/>
    <n v="0"/>
    <n v="3243.32"/>
    <n v="6756.68"/>
    <s v="Programa de apoyo a empresarios minoritarios"/>
  </r>
  <r>
    <s v="FIE60-2023-2024-0068"/>
    <s v="2024-000920"/>
    <x v="99"/>
    <d v="2024-04-05T00:00:00"/>
    <d v="5202-10-04T00:00:00"/>
    <s v="Contract"/>
    <s v="MS WIFI ZONE, INC."/>
    <s v="BARRANQUITAS"/>
    <s v="Proveedor de servicio de internet (ISP)"/>
    <x v="31"/>
    <n v="7000"/>
    <n v="0"/>
    <n v="0"/>
    <n v="7000"/>
    <s v="Programa de apoyo a empresarios minoritarios"/>
  </r>
  <r>
    <s v="FIE60-2023-2024-0210"/>
    <s v="2024-000922"/>
    <x v="123"/>
    <d v="2024-04-05T00:00:00"/>
    <d v="2024-08-30T00:00:00"/>
    <s v="Contract"/>
    <s v="INICIATIVA TECNOLOGICA CENTRO ORIENTAL"/>
    <s v="CAGUAS"/>
    <s v="Centro de apoyo a emprendedores"/>
    <x v="30"/>
    <n v="50000"/>
    <n v="0"/>
    <n v="50000"/>
    <n v="0"/>
    <s v="Auspicio"/>
  </r>
  <r>
    <s v="FIE60-2023-2024-0043"/>
    <s v="2024-000923"/>
    <x v="124"/>
    <d v="2024-04-05T00:00:00"/>
    <d v="2027-04-04T00:00:00"/>
    <s v="Contract"/>
    <s v="ERMIS Z RAMOS CINTRON"/>
    <s v="JUANA DIAZ"/>
    <s v="Renglón de hilo (hamacas)"/>
    <x v="15"/>
    <n v="1000"/>
    <n v="0"/>
    <n v="1000"/>
    <n v="0"/>
    <s v="Programa de apoyo a empresarios minoritarios"/>
  </r>
  <r>
    <s v="FIE60-2023-2024-0043"/>
    <s v="2024-000924"/>
    <x v="125"/>
    <d v="2024-04-05T00:00:00"/>
    <d v="2027-04-04T00:00:00"/>
    <s v="Contract"/>
    <s v="JACQUELINE A MUNOZ MARTINEZ"/>
    <s v="LAJAS"/>
    <s v="Renglón del barro"/>
    <x v="15"/>
    <n v="1000"/>
    <n v="0"/>
    <n v="1000"/>
    <n v="0"/>
    <s v="Programa de apoyo a empresarios minoritarios"/>
  </r>
  <r>
    <s v="FIE60-2023-2024-0263"/>
    <s v="2024-000925"/>
    <x v="126"/>
    <d v="2024-04-05T00:00:00"/>
    <d v="2027-04-04T00:00:00"/>
    <s v="Contract"/>
    <s v="KANDOR MANUFACTURING, INC."/>
    <s v="ARECIBO"/>
    <s v="Productos textiles"/>
    <x v="8"/>
    <n v="12000"/>
    <n v="0"/>
    <n v="0"/>
    <n v="12000"/>
    <n v="0.19"/>
  </r>
  <r>
    <s v="FIE60-2023-2024-0273"/>
    <s v="2024-000926"/>
    <x v="127"/>
    <d v="2024-04-05T00:00:00"/>
    <d v="2027-04-04T00:00:00"/>
    <s v="Contract"/>
    <s v="KANDOR MANUFACTURING, INC."/>
    <s v="ARECIBO"/>
    <s v="Productos textiles"/>
    <x v="10"/>
    <n v="300000"/>
    <n v="0"/>
    <n v="0"/>
    <n v="300000"/>
    <n v="0.19"/>
  </r>
  <r>
    <s v="FIE60-2023-2024-0233"/>
    <s v="2024-000927"/>
    <x v="118"/>
    <d v="2024-04-05T00:00:00"/>
    <d v="2027-04-04T00:00:00"/>
    <s v="Contract"/>
    <s v="PUERTO RICO APPAREL MFG. CORP."/>
    <s v="MAYAGÜEZ"/>
    <s v="Productos textiles"/>
    <x v="8"/>
    <n v="25000"/>
    <n v="0"/>
    <n v="0"/>
    <n v="25000"/>
    <n v="2.25"/>
  </r>
  <r>
    <s v="FIE60-2023-2024-0234"/>
    <s v="2024-000928"/>
    <x v="118"/>
    <d v="2024-04-05T00:00:00"/>
    <d v="2024-04-04T00:00:00"/>
    <s v="Contract"/>
    <s v="PUERTO RICO APPAREL MFG. CORP."/>
    <s v="MAYAGÜEZ"/>
    <s v="Productos textiles"/>
    <x v="10"/>
    <n v="155000"/>
    <n v="0"/>
    <n v="0"/>
    <n v="155000"/>
    <n v="2.25"/>
  </r>
  <r>
    <s v="FIE60-2023-2024-0235"/>
    <s v="2024-000929"/>
    <x v="118"/>
    <d v="2024-04-05T00:00:00"/>
    <d v="2027-04-04T00:00:00"/>
    <s v="Contract"/>
    <s v="PUERTO RICO APPAREL MFG. CORP."/>
    <s v="MAYAGÜEZ"/>
    <s v="Productos textiles"/>
    <x v="9"/>
    <n v="31815"/>
    <n v="0"/>
    <n v="0"/>
    <n v="31815"/>
    <n v="2.25"/>
  </r>
  <r>
    <s v="FIE60-2023-2024-0211"/>
    <s v="2024-000930"/>
    <x v="118"/>
    <d v="2024-04-05T00:00:00"/>
    <d v="2029-04-04T00:00:00"/>
    <s v="Contract"/>
    <s v="CARIBBEAN OPHTHALMICS CORP"/>
    <s v="SAN JUAN"/>
    <s v="Manufactura de lentes oftalmicos"/>
    <x v="8"/>
    <n v="27000"/>
    <n v="0"/>
    <n v="1800"/>
    <n v="25200"/>
    <n v="6.96"/>
  </r>
  <r>
    <s v="FIE60-2023-2024-0212"/>
    <s v="2024-000931"/>
    <x v="118"/>
    <d v="2024-04-05T00:00:00"/>
    <d v="2027-04-04T00:00:00"/>
    <s v="Contract"/>
    <s v="CARIBBEAN OPHTHALMICS CORP"/>
    <s v="SAN JUAN"/>
    <s v="Manufactura de lentes oftalmicos"/>
    <x v="10"/>
    <n v="200000"/>
    <n v="0"/>
    <n v="200000"/>
    <n v="0"/>
    <n v="6.96"/>
  </r>
  <r>
    <s v="FIE60-2023-2024-0044"/>
    <s v="2024-000934"/>
    <x v="99"/>
    <d v="2024-04-06T00:00:00"/>
    <d v="2025-04-05T00:00:00"/>
    <s v="Contract"/>
    <s v="MUNICIPIO DE LARES"/>
    <s v="LARES"/>
    <s v="Vigésima Tercera edición del Festival de las Almojábanas"/>
    <x v="15"/>
    <n v="1050"/>
    <n v="0"/>
    <n v="1050"/>
    <n v="0"/>
    <s v="Programa de apoyo a empresarios minoritarios"/>
  </r>
  <r>
    <s v="FIE60-2023-2024-0053"/>
    <s v="2024-000932"/>
    <x v="99"/>
    <d v="2024-04-08T00:00:00"/>
    <d v="2024-06-30T00:00:00"/>
    <s v="Contract"/>
    <s v="WIESNER DISTRIBUTION"/>
    <s v="SAN JUAN"/>
    <s v="&quot;La Semana de Cine Español&quot; (el &quot;Evento&quot;)"/>
    <x v="14"/>
    <n v="10000"/>
    <n v="0"/>
    <n v="5000"/>
    <n v="5000"/>
    <s v="Auspicio"/>
  </r>
  <r>
    <s v="FIE60-2023-2024-0046"/>
    <s v="2024-000191-A"/>
    <x v="99"/>
    <d v="2024-04-10T00:00:00"/>
    <d v="2026-09-11T00:00:00"/>
    <s v="Contract"/>
    <s v="DIRECTLAB, LLC H/N/C LABBGO"/>
    <s v="GUAYNABO"/>
    <s v="Desarrollo de tecnología de aplicaciones (&quot;software&quot;)"/>
    <x v="17"/>
    <n v="20000"/>
    <n v="0"/>
    <n v="10000"/>
    <n v="10000"/>
    <s v="Programa de apoyo a empresarios minoritarios"/>
  </r>
  <r>
    <s v="FIE60-2023-2024-0047"/>
    <s v="2024-000936"/>
    <x v="99"/>
    <d v="2024-04-10T00:00:00"/>
    <d v="2025-04-09T00:00:00"/>
    <s v="Contract"/>
    <s v="THE WAY TO CLEAN LLC"/>
    <s v="SAN JUAN"/>
    <s v="Empresa de servicio de limpieza v mantenimiento residencial, comercial e industrial"/>
    <x v="24"/>
    <n v="5000"/>
    <n v="0"/>
    <n v="5000"/>
    <n v="0"/>
    <s v="Programa de apoyo a empresarios minoritarios"/>
  </r>
  <r>
    <s v="FIE60-2023-2024-0274"/>
    <s v="2024-000937"/>
    <x v="128"/>
    <d v="2024-04-11T00:00:00"/>
    <d v="2029-04-10T00:00:00"/>
    <s v="Contract"/>
    <s v="LA FINCA DE ABUELO MIGUEL INC"/>
    <s v="DORADO"/>
    <s v="Manufactura de: came de res, polio, cerdo, cordero y huevos"/>
    <x v="10"/>
    <n v="30000"/>
    <n v="0"/>
    <n v="6300"/>
    <n v="23700"/>
    <n v="6.17"/>
  </r>
  <r>
    <s v="FIE60-2023-2024-0257"/>
    <s v="2024-000940"/>
    <x v="116"/>
    <d v="2024-04-11T00:00:00"/>
    <d v="2025-10-10T00:00:00"/>
    <s v="Contract"/>
    <s v="PRIME AIR CORP."/>
    <s v="CAROLINA"/>
    <s v="Drogas y preparaciones farmacéuticas"/>
    <x v="32"/>
    <n v="50000"/>
    <n v="0"/>
    <n v="0"/>
    <n v="50000"/>
    <s v="Programa de apoyo a empresarios minoritarios"/>
  </r>
  <r>
    <s v="FIE60-2023-2024-0275"/>
    <s v="2024-000938"/>
    <x v="128"/>
    <d v="2024-04-12T00:00:00"/>
    <d v="2029-04-11T00:00:00"/>
    <s v="Contract"/>
    <s v="LA FINCA DE ABUELO MIGUEL INC"/>
    <s v="DORADO"/>
    <s v="Manufactura de: came de res, polio, cerdo, cordero y huevos"/>
    <x v="8"/>
    <n v="3000"/>
    <n v="0"/>
    <n v="0"/>
    <n v="3000"/>
    <n v="6.17"/>
  </r>
  <r>
    <s v="FIE60-2023-2024-0240"/>
    <s v="2024-000939"/>
    <x v="129"/>
    <d v="2024-04-12T00:00:00"/>
    <d v="2025-04-11T00:00:00"/>
    <s v="Contract"/>
    <s v="SONIA I. ROMAN SOLER HNC CLARO CASA"/>
    <s v="ISABELA"/>
    <s v="Manufactura de productos textiles para el hogar"/>
    <x v="33"/>
    <n v="6479"/>
    <n v="0"/>
    <n v="6479"/>
    <n v="0"/>
    <s v="Programa de apoyo a empresarios minoritarios"/>
  </r>
  <r>
    <s v="FIE60-2023-2024-0104"/>
    <s v="2024-000455-A"/>
    <x v="101"/>
    <d v="2024-04-15T00:00:00"/>
    <d v="2028-11-12T00:00:00"/>
    <s v="Contract"/>
    <s v="STRUCTURAL STEEL MANUFACTURING, INC."/>
    <s v="BAYAMON"/>
    <s v="Manufactura de componentes de acero"/>
    <x v="8"/>
    <n v="37500"/>
    <n v="0"/>
    <n v="0"/>
    <n v="37500"/>
    <n v="1.1499999999999999"/>
  </r>
  <r>
    <s v="FIE60-2023-2024-0047"/>
    <s v="2024-000942"/>
    <x v="99"/>
    <d v="2024-04-15T00:00:00"/>
    <d v="2024-06-30T00:00:00"/>
    <s v="Contract"/>
    <s v="UPR - RECINTO DE BAYAMON"/>
    <s v="BAYAMON"/>
    <s v="Programa de Comercio y Exportación"/>
    <x v="24"/>
    <n v="16800"/>
    <n v="0"/>
    <n v="7000"/>
    <n v="9800"/>
    <s v="Programa de apoyo a empresarios minoritarios"/>
  </r>
  <r>
    <s v="FIE60-2023-2024-0068"/>
    <s v="2024-000943"/>
    <x v="99"/>
    <d v="2024-04-15T00:00:00"/>
    <d v="2025-10-14T00:00:00"/>
    <s v="Contract"/>
    <s v="FACILITO CAR KEYS LLC"/>
    <s v="PEÑUELAS"/>
    <s v="Servicio de cerrajería para vehículos y casas"/>
    <x v="31"/>
    <n v="5000"/>
    <n v="0"/>
    <n v="4543.8899999999994"/>
    <n v="456.11000000000058"/>
    <s v="Programa de apoyo a empresarios minoritarios"/>
  </r>
  <r>
    <s v="FIE60-2023-2024-0068"/>
    <s v="2024-000944"/>
    <x v="99"/>
    <d v="2024-04-15T00:00:00"/>
    <d v="2025-10-14T00:00:00"/>
    <s v="Contract"/>
    <s v="THRIVE HEALING LLC D/B/A THRIVE CHIROPRATIC"/>
    <s v="HUMACAO"/>
    <s v="Quiropráctico"/>
    <x v="31"/>
    <n v="5000"/>
    <n v="0"/>
    <n v="0"/>
    <n v="5000"/>
    <s v="Programa de apoyo a empresarios minoritarios"/>
  </r>
  <r>
    <s v="FIE60-2023-2024-0051"/>
    <s v="2024-000945"/>
    <x v="99"/>
    <d v="2024-04-15T00:00:00"/>
    <d v="2027-12-31T00:00:00"/>
    <s v="Contract"/>
    <s v="PAULA MARGARITA HERNANDEZ FONSECA"/>
    <s v="TOA ALTA"/>
    <s v="Beca Teodoro Moscoso Mora"/>
    <x v="16"/>
    <n v="40000"/>
    <n v="0"/>
    <n v="15000"/>
    <n v="25000"/>
    <s v="Programa de apoyo a empresarios minoritarios"/>
  </r>
  <r>
    <s v="FIE60-2023-2024-0068"/>
    <s v="2024-000946"/>
    <x v="99"/>
    <d v="2024-04-15T00:00:00"/>
    <d v="2025-10-14T00:00:00"/>
    <s v="Contract"/>
    <s v="RAFROSS LLC"/>
    <s v="ARECIBO"/>
    <s v="Salón de Belleza"/>
    <x v="31"/>
    <n v="10000"/>
    <n v="0"/>
    <n v="0"/>
    <n v="10000"/>
    <s v="Programa de apoyo a empresarios minoritarios"/>
  </r>
  <r>
    <s v="FIE60-2023-2024-0248"/>
    <s v="2024-000948"/>
    <x v="130"/>
    <d v="2024-04-16T00:00:00"/>
    <d v="2027-04-15T00:00:00"/>
    <s v="Contract"/>
    <s v="JMC CORP"/>
    <s v="GUAYNABO"/>
    <s v="Manufactura de: serigrafia, bordados, sublimación y estampado en textiles"/>
    <x v="8"/>
    <n v="3000"/>
    <n v="0"/>
    <n v="0"/>
    <n v="3000"/>
    <n v="4.43"/>
  </r>
  <r>
    <s v="FIE60-2023-2024-0249"/>
    <s v="2024-000949"/>
    <x v="130"/>
    <d v="2024-04-16T00:00:00"/>
    <d v="2027-04-15T00:00:00"/>
    <s v="Contract"/>
    <s v="JMC CORP"/>
    <s v="GUAYNABO"/>
    <s v="Manufactura de: serigrafia, bordados, sublimación y estampado en textiles"/>
    <x v="10"/>
    <n v="55500"/>
    <n v="0"/>
    <n v="0"/>
    <n v="55500"/>
    <n v="4.43"/>
  </r>
  <r>
    <s v="FIE60-2023-2024-0181"/>
    <s v="2024-000950"/>
    <x v="117"/>
    <d v="2024-04-16T00:00:00"/>
    <d v="2027-04-15T00:00:00"/>
    <s v="Contract"/>
    <s v="ROYAL LAB LLC"/>
    <s v="CAGUAS"/>
    <s v="Manufactura de productos dentales"/>
    <x v="8"/>
    <n v="9000"/>
    <n v="0"/>
    <n v="0"/>
    <n v="9000"/>
    <n v="1.25"/>
  </r>
  <r>
    <s v="FIE60-2023-2024-0182"/>
    <s v="2024-000951"/>
    <x v="117"/>
    <d v="2024-04-16T00:00:00"/>
    <d v="2027-04-15T00:00:00"/>
    <s v="Contract"/>
    <s v="ROYAL LAB LLC"/>
    <s v="CAGUAS"/>
    <s v="Manufactura de productos dentales"/>
    <x v="10"/>
    <n v="80000"/>
    <n v="0"/>
    <n v="0"/>
    <n v="80000"/>
    <n v="1.25"/>
  </r>
  <r>
    <s v="FIE60-2023-2024-0051"/>
    <s v="2024-000954"/>
    <x v="99"/>
    <d v="2024-04-16T00:00:00"/>
    <d v="2026-12-31T00:00:00"/>
    <s v="Contract"/>
    <s v="SEBASTIAN MIGUEL SEGUI CESAN"/>
    <s v="MAYAGÜEZ"/>
    <s v="Beca Teodoro Moscoso Mora"/>
    <x v="16"/>
    <n v="30000"/>
    <n v="0"/>
    <n v="10000"/>
    <n v="20000"/>
    <s v="Programa de apoyo a empresarios minoritarios"/>
  </r>
  <r>
    <s v="FIE60-2023-2024-0051"/>
    <s v="2024-000955"/>
    <x v="99"/>
    <d v="2024-04-16T00:00:00"/>
    <d v="2026-12-31T00:00:00"/>
    <s v="Contract"/>
    <s v="NICOLE ANGELIS MARTINEZ MARTINEZ"/>
    <s v="ISABELA"/>
    <s v="Beca Teodoro Moscoso Mora"/>
    <x v="16"/>
    <n v="30000"/>
    <n v="0"/>
    <n v="15000"/>
    <n v="15000"/>
    <s v="Programa de apoyo a empresarios minoritarios"/>
  </r>
  <r>
    <s v="FIE60-2023-2024-0179"/>
    <s v="2024-000968"/>
    <x v="117"/>
    <d v="2024-04-16T00:00:00"/>
    <d v="2029-04-15T00:00:00"/>
    <s v="Contract"/>
    <s v="PRIME AIR CORP."/>
    <s v="CAROLINA"/>
    <s v="Drogas y preparaciones farmacéuticas"/>
    <x v="8"/>
    <n v="22000"/>
    <n v="0"/>
    <n v="0"/>
    <n v="22000"/>
    <n v="8.7100000000000009"/>
  </r>
  <r>
    <s v="FIE60-2023-2024-0200"/>
    <s v="2023-002226-C"/>
    <x v="131"/>
    <d v="2024-04-17T00:00:00"/>
    <d v="2024-05-10T00:00:00"/>
    <s v="Contract"/>
    <s v="SONIA I. ROMAN SOLER HNC CLARO CASA"/>
    <s v="ISABELA"/>
    <s v="Manufactura de productos textiles para el hogar"/>
    <x v="33"/>
    <n v="4668"/>
    <n v="0"/>
    <n v="4668"/>
    <n v="0"/>
    <s v="Programa de apoyo a empresarios minoritarios"/>
  </r>
  <r>
    <s v="FIE60-2023-2024-0175"/>
    <s v="2024-000952"/>
    <x v="122"/>
    <d v="2024-04-17T00:00:00"/>
    <d v="2029-04-16T00:00:00"/>
    <s v="Cancelled"/>
    <s v="LABORATORIO CLANDESTINO VIEQUENSE, INC."/>
    <s v="VIEQUES"/>
    <s v="Manufactura de Ron"/>
    <x v="10"/>
    <n v="7735"/>
    <n v="0.4"/>
    <n v="7734.6"/>
    <n v="0"/>
    <n v="1559.47"/>
  </r>
  <r>
    <s v="FIE60-2023-2024-0285"/>
    <s v="2024-000953"/>
    <x v="132"/>
    <d v="2024-04-17T00:00:00"/>
    <d v="2029-04-16T00:00:00"/>
    <s v="Contract"/>
    <s v="ANGEL REYES SERRANO H/N/C HIDROPONICOS BORINQUEN"/>
    <s v="BAYAMON"/>
    <s v="Cultivo de hidroponicos"/>
    <x v="10"/>
    <n v="94548.72"/>
    <n v="0"/>
    <n v="0"/>
    <n v="94548.72"/>
    <n v="-0.11"/>
  </r>
  <r>
    <s v="FIE60-2023-2024-0201"/>
    <s v="2024-000956"/>
    <x v="131"/>
    <d v="2024-04-17T00:00:00"/>
    <d v="2025-04-16T00:00:00"/>
    <s v="Contract"/>
    <s v="HOGAREA, INC."/>
    <s v="CAGUAS"/>
    <s v="Fábrica de gabinetes y tapes de cocinas"/>
    <x v="33"/>
    <n v="6631"/>
    <n v="0"/>
    <n v="6631"/>
    <n v="0"/>
    <s v="Programa de apoyo a empresarios minoritarios"/>
  </r>
  <r>
    <s v="FIE60-2023-2024-0279"/>
    <s v="2024-000961"/>
    <x v="133"/>
    <d v="2024-04-19T00:00:00"/>
    <d v="2029-04-18T00:00:00"/>
    <s v="Contract"/>
    <s v="JM CHOCOLAT, LLC"/>
    <s v="AÑASCO"/>
    <s v="Productos misceláneos de alimentos "/>
    <x v="10"/>
    <n v="64950"/>
    <n v="0"/>
    <n v="0"/>
    <n v="64950"/>
    <n v="2.5499999999999998"/>
  </r>
  <r>
    <s v="FIE60-2023-2024-0278"/>
    <s v="2024-000962"/>
    <x v="133"/>
    <d v="2024-04-19T00:00:00"/>
    <d v="2029-04-18T00:00:00"/>
    <s v="Contract"/>
    <s v="JM CHOCOLAT, LLC"/>
    <s v="AÑASCO"/>
    <s v="Productos misceláneos de alimentos "/>
    <x v="8"/>
    <n v="21875"/>
    <n v="0"/>
    <n v="0"/>
    <n v="21875"/>
    <n v="2.5499999999999998"/>
  </r>
  <r>
    <s v="FIE60-2023-2024-0068"/>
    <s v="2024-000966"/>
    <x v="99"/>
    <d v="2024-04-22T00:00:00"/>
    <d v="2025-10-21T00:00:00"/>
    <s v="Contract"/>
    <s v="LIFE HEALTH SOLUTIONS INC"/>
    <s v="MAYAGÜEZ"/>
    <s v="Evaluaciones médicas, terapias físicas y acupuntura"/>
    <x v="31"/>
    <n v="10000"/>
    <n v="0"/>
    <n v="0"/>
    <n v="10000"/>
    <s v="Programa de apoyo a empresarios minoritarios"/>
  </r>
  <r>
    <s v="FIE60-2023-2024-0046"/>
    <s v="2024-000188-A"/>
    <x v="99"/>
    <d v="2024-04-25T00:00:00"/>
    <d v="2023-09-10T00:00:00"/>
    <s v="Contract"/>
    <s v="ANDENO CO."/>
    <s v="SAN JUAN"/>
    <s v="Software development"/>
    <x v="17"/>
    <n v="40000"/>
    <n v="0"/>
    <n v="0"/>
    <n v="40000"/>
    <s v="Programa de apoyo a empresarios minoritarios"/>
  </r>
  <r>
    <s v="FIE60-2023-2024-0281"/>
    <s v="2024-000963"/>
    <x v="132"/>
    <d v="2024-04-25T00:00:00"/>
    <d v="2029-04-24T00:00:00"/>
    <s v="Contract"/>
    <s v="IPR PHARMACEUTICALS, INC"/>
    <s v="CANOVANAS"/>
    <s v="Biopharmaceutical products manufacturing"/>
    <x v="8"/>
    <n v="173000"/>
    <n v="0"/>
    <n v="0"/>
    <n v="173000"/>
    <n v="13.44"/>
  </r>
  <r>
    <s v="FIE60-2023-2024-0282"/>
    <s v="2024-000964"/>
    <x v="132"/>
    <d v="2024-04-25T00:00:00"/>
    <d v="2029-04-24T00:00:00"/>
    <s v="Contract"/>
    <s v="IPR PHARMACEUTICALS, INC"/>
    <s v="CANOVANAS"/>
    <s v="Biopharmaceutical products manufacturing"/>
    <x v="10"/>
    <n v="5300000"/>
    <n v="0"/>
    <n v="0"/>
    <n v="5300000"/>
    <n v="13.44"/>
  </r>
  <r>
    <s v="FIE60-2023-2024-0051"/>
    <s v="2024-000970"/>
    <x v="99"/>
    <d v="2024-04-26T00:00:00"/>
    <d v="2025-05-31T00:00:00"/>
    <s v="Contract"/>
    <s v="CALEB J MORALES ROSARIO"/>
    <s v="RIO GRANDE"/>
    <s v="Beca Teodoro Moscoso Mora"/>
    <x v="16"/>
    <n v="15000"/>
    <n v="0"/>
    <n v="10000"/>
    <n v="5000"/>
    <s v="Programa de apoyo a empresarios minoritarios"/>
  </r>
  <r>
    <s v="FIE60-2023-2024-0068"/>
    <s v="2024-000971"/>
    <x v="99"/>
    <d v="2024-04-26T00:00:00"/>
    <d v="2025-10-25T00:00:00"/>
    <s v="Contract"/>
    <s v="C&amp;C CORPORATION H/N/C LECHONES TO GO"/>
    <s v="SAN JUAN"/>
    <s v="Servicio de venta de alimentos, catering con especialidad en productos creados"/>
    <x v="31"/>
    <n v="10000"/>
    <n v="0"/>
    <n v="0"/>
    <n v="10000"/>
    <s v="Programa de apoyo a empresarios minoritarios"/>
  </r>
  <r>
    <s v="FIE60-2023-2024-0068"/>
    <s v="2024-000972"/>
    <x v="99"/>
    <d v="2024-04-26T00:00:00"/>
    <d v="2025-10-25T00:00:00"/>
    <s v="Contract"/>
    <s v="CARIBBEAN GLOBAL SCHOOL CORPORATION"/>
    <s v="TOA BAJA"/>
    <s v="Escuela Internacional"/>
    <x v="31"/>
    <n v="5000"/>
    <n v="0"/>
    <n v="0"/>
    <n v="5000"/>
    <s v="Programa de apoyo a empresarios minoritarios"/>
  </r>
  <r>
    <s v="FIE60-2023-2024-0270"/>
    <s v="2024-000977"/>
    <x v="126"/>
    <d v="2024-04-26T00:00:00"/>
    <d v="2029-04-25T00:00:00"/>
    <s v="Contract"/>
    <s v="E3 CONSULTING, INC."/>
    <s v="SAN JUAN"/>
    <s v="Exportacion de servicios de consultoria a negocios e instituciones"/>
    <x v="8"/>
    <n v="105000"/>
    <n v="0"/>
    <n v="0"/>
    <n v="105000"/>
    <n v="24.9"/>
  </r>
  <r>
    <s v="FIE60-2023-2024-0276"/>
    <s v="2024-000978"/>
    <x v="134"/>
    <d v="2024-04-26T00:00:00"/>
    <d v="2027-04-25T00:00:00"/>
    <s v="Contract"/>
    <s v="E3 CONSULTING, INC."/>
    <s v="SAN JUAN"/>
    <s v="Exportacion de servicios de consultoria a negocios e instituciones"/>
    <x v="32"/>
    <n v="50000"/>
    <n v="0"/>
    <n v="0"/>
    <n v="50000"/>
    <n v="24.9"/>
  </r>
  <r>
    <s v="FIE60-2023-2024-0222"/>
    <s v="2024-000979-A"/>
    <x v="135"/>
    <d v="2024-04-26T00:00:00"/>
    <d v="2027-04-25T00:00:00"/>
    <s v="Contract"/>
    <s v="C&amp;F FOOD PRODUCE CORP"/>
    <s v="VEGA BAJA"/>
    <s v="Productos misceláneos de alimentos "/>
    <x v="8"/>
    <n v="52000"/>
    <n v="0"/>
    <n v="0"/>
    <n v="52000"/>
    <n v="3.91"/>
  </r>
  <r>
    <s v="FIE60-2023-2024-0223"/>
    <s v="2024-000980-A"/>
    <x v="135"/>
    <d v="2024-04-26T00:00:00"/>
    <d v="2029-04-25T00:00:00"/>
    <s v="Contract"/>
    <s v="C&amp;F FOOD PRODUCE CORP"/>
    <s v="VEGA BAJA"/>
    <s v="Productos misceláneos de alimentos "/>
    <x v="10"/>
    <n v="52000"/>
    <n v="0"/>
    <n v="0"/>
    <n v="52000"/>
    <n v="3.91"/>
  </r>
  <r>
    <s v="FIE60-2023-2024-0286"/>
    <s v="2024-000981"/>
    <x v="136"/>
    <d v="2024-04-26T00:00:00"/>
    <d v="2029-04-25T00:00:00"/>
    <s v="Contract"/>
    <s v="RRT DISTRIBUTORS LLC"/>
    <s v="TRUJILLO ALTO"/>
    <s v="Procesamiento de carnes, pescado y ayes"/>
    <x v="8"/>
    <n v="24000"/>
    <n v="0"/>
    <n v="0"/>
    <n v="24000"/>
    <n v="5.73"/>
  </r>
  <r>
    <s v="FIE60-2023-2024-0287"/>
    <s v="2024-000982"/>
    <x v="136"/>
    <d v="2024-04-26T00:00:00"/>
    <d v="2029-04-25T00:00:00"/>
    <s v="Contract"/>
    <s v="RRT DISTRIBUTORS LLC"/>
    <s v="TRUJILLO ALTO"/>
    <s v="Procesamiento de carnes, pescado y ayes"/>
    <x v="10"/>
    <n v="200000"/>
    <n v="0"/>
    <n v="0"/>
    <n v="200000"/>
    <n v="5.73"/>
  </r>
  <r>
    <s v="FIE60-2023-2024-0232"/>
    <s v="2024-000973"/>
    <x v="118"/>
    <d v="2024-04-30T00:00:00"/>
    <d v="2027-04-29T00:00:00"/>
    <s v="Contract"/>
    <s v="MILTON SEDA H/N/C HYDRO MAS"/>
    <s v="GUAYNABO"/>
    <s v="Siembra y cultivo de lechuga mediante sistema hidropónico"/>
    <x v="10"/>
    <n v="66815.240000000005"/>
    <n v="0"/>
    <n v="0"/>
    <n v="66815.240000000005"/>
    <n v="-0.28999999999999998"/>
  </r>
  <r>
    <s v="FIE60-2023-2024-0265"/>
    <s v="2024-000974"/>
    <x v="126"/>
    <d v="2024-04-30T00:00:00"/>
    <d v="2029-04-29T00:00:00"/>
    <s v="Contract"/>
    <s v="PRODUCTOS DEL ALTO INC"/>
    <s v="PONCE "/>
    <s v="Manufactura de sorullos de maiz congelados"/>
    <x v="10"/>
    <n v="37403"/>
    <n v="0"/>
    <n v="0"/>
    <n v="37403"/>
    <n v="1.25"/>
  </r>
  <r>
    <s v="FIE60-2023-2024-0053"/>
    <s v="2024-000991"/>
    <x v="99"/>
    <d v="2024-05-01T00:00:00"/>
    <d v="2024-05-30T00:00:00"/>
    <s v="Contract"/>
    <s v="NOELANI SUE RODRIGUEZ HERNANDEZ"/>
    <s v="MANATI"/>
    <s v="&quot;AmPav Student Experience&quot;"/>
    <x v="14"/>
    <n v="2080"/>
    <n v="0"/>
    <n v="0"/>
    <n v="2080"/>
    <s v="Auspicio"/>
  </r>
  <r>
    <s v="FIE60-2023-2024-0044"/>
    <s v="2024-000993"/>
    <x v="99"/>
    <d v="2024-05-01T00:00:00"/>
    <d v="2025-05-31T00:00:00"/>
    <s v="Contract"/>
    <s v="JUAN A. RIVERA MENDEZ"/>
    <s v="CIALES"/>
    <s v="Confección de Bolígrafos en madera"/>
    <x v="15"/>
    <n v="1440"/>
    <n v="0"/>
    <n v="1440"/>
    <n v="0"/>
    <s v="Programa de apoyo a empresarios minoritarios"/>
  </r>
  <r>
    <s v="FIE60-2023-2024-0044"/>
    <s v="2024-000994"/>
    <x v="99"/>
    <d v="2024-05-01T00:00:00"/>
    <d v="2025-05-31T00:00:00"/>
    <s v="Cancelled"/>
    <s v="JUAN L. VILLALOBOS JIMENEZ"/>
    <s v="CIALES"/>
    <s v="Tejido de muebles en enea"/>
    <x v="15"/>
    <n v="1440"/>
    <n v="40"/>
    <n v="1400"/>
    <n v="0"/>
    <s v="Programa de apoyo a empresarios minoritarios.  Finanzas solicita cancelar balance al 4-10-2025"/>
  </r>
  <r>
    <s v="FIE60-2023-2024-0044"/>
    <s v="2024-000996"/>
    <x v="99"/>
    <d v="2024-05-01T00:00:00"/>
    <d v="2025-05-31T00:00:00"/>
    <s v="Contract"/>
    <s v="RAUL COLON SANTIAGO"/>
    <s v="VEGA BAJA"/>
    <s v="Confección de Hamaca (tejido)"/>
    <x v="15"/>
    <n v="1440"/>
    <n v="0"/>
    <n v="1440"/>
    <n v="0"/>
    <s v="Programa de apoyo a empresarios minoritarios"/>
  </r>
  <r>
    <s v="FIE60-2023-2024-0047"/>
    <s v="2024-000995"/>
    <x v="99"/>
    <d v="2024-05-02T00:00:00"/>
    <d v="2026-05-31T00:00:00"/>
    <s v="Contract"/>
    <s v="PEDRO A RIOS REYES H/N/C RIOS WATER SERVICE"/>
    <s v="NARANJITO"/>
    <s v="Sector de venta"/>
    <x v="24"/>
    <n v="8000"/>
    <n v="0"/>
    <n v="5951.5"/>
    <n v="2048.5"/>
    <s v="Programa de apoyo a empresarios minoritarios"/>
  </r>
  <r>
    <s v="FIE60-2023-2024-0277"/>
    <s v="2024-000983"/>
    <x v="133"/>
    <d v="2024-05-03T00:00:00"/>
    <d v="2029-05-02T00:00:00"/>
    <s v="Contract"/>
    <s v="TECHNO PLASTIC INDUSTRIES, INC."/>
    <s v="AÑASCO"/>
    <s v="Operaciones de moldeo y ensamblaje de dispositivos medicos"/>
    <x v="10"/>
    <n v="450000"/>
    <n v="0"/>
    <n v="0"/>
    <n v="450000"/>
    <n v="0.98"/>
  </r>
  <r>
    <s v="FIE60-2023-2024-0246"/>
    <s v="2024-000984"/>
    <x v="137"/>
    <d v="2024-05-03T00:00:00"/>
    <d v="2029-05-02T00:00:00"/>
    <s v="Contract"/>
    <s v="TECHNO PLASTIC INDUSTRIES, INC."/>
    <s v="AÑASCO"/>
    <s v="Operaciones de moldeo y ensamblaje de dispositivos medicos"/>
    <x v="8"/>
    <n v="40000"/>
    <n v="0"/>
    <n v="0"/>
    <n v="40000"/>
    <n v="0.98"/>
  </r>
  <r>
    <s v="FIE60-2023-2024-0247"/>
    <s v="2024-000985"/>
    <x v="137"/>
    <d v="2024-05-03T00:00:00"/>
    <d v="2029-05-02T00:00:00"/>
    <s v="Contract"/>
    <s v="TECHNO PLASTIC INDUSTRIES, INC."/>
    <s v="AÑASCO"/>
    <s v="Operaciones de moldeo y ensamblaje de dispositivos medicos"/>
    <x v="9"/>
    <n v="548607"/>
    <n v="0"/>
    <n v="0"/>
    <n v="548607"/>
    <n v="0.98"/>
  </r>
  <r>
    <s v="FIE60-2023-2024-0193"/>
    <s v="2024-000986"/>
    <x v="138"/>
    <d v="2024-05-03T00:00:00"/>
    <d v="2029-05-02T00:00:00"/>
    <s v="Contract"/>
    <s v="FURNITURE COMPANY AA CORP"/>
    <s v="SAN JUAN"/>
    <s v="Manufactura de Muebles Hogar e _x000a_Institucional "/>
    <x v="8"/>
    <n v="8000"/>
    <n v="0"/>
    <n v="0"/>
    <n v="8000"/>
    <n v="12.91"/>
  </r>
  <r>
    <s v="FIE60-2023-2024-0293"/>
    <s v="2024-000988"/>
    <x v="139"/>
    <d v="2024-05-03T00:00:00"/>
    <d v="2027-05-02T00:00:00"/>
    <s v="Cancelled"/>
    <s v="SUIZA DAIRY CORPORATION"/>
    <s v="AGUADILLA"/>
    <s v="Produccion de leche de vida extendida"/>
    <x v="8"/>
    <n v="1750"/>
    <n v="1750"/>
    <n v="0"/>
    <n v="0"/>
    <n v="5.78"/>
  </r>
  <r>
    <s v="FIE60-2023-2024-0294"/>
    <s v="2024-000989"/>
    <x v="139"/>
    <d v="2024-05-03T00:00:00"/>
    <d v="2029-05-02T00:00:00"/>
    <s v="Cancelled"/>
    <s v="SUIZA DAIRY CORPORATION"/>
    <s v="AGUADILLA"/>
    <s v="Produccion de leche de vida extendida"/>
    <x v="10"/>
    <n v="1280104"/>
    <n v="1280104"/>
    <n v="0"/>
    <n v="0"/>
    <n v="5.78"/>
  </r>
  <r>
    <s v="FIE60-2023-2024-0288"/>
    <s v="2024-001002"/>
    <x v="136"/>
    <d v="2024-05-06T00:00:00"/>
    <d v="2029-05-06T00:00:00"/>
    <s v="Contract"/>
    <s v="INTERNET VISION DEVELOPMENT CORP."/>
    <s v="SAN JUAN"/>
    <s v="Diseño y desarrollo de programas o aplicaciones licenciados para su reproducción en escala comercial"/>
    <x v="10"/>
    <n v="420000"/>
    <n v="0"/>
    <n v="0"/>
    <n v="420000"/>
    <n v="1.44"/>
  </r>
  <r>
    <s v="FIE60-2023-2024-0267"/>
    <s v="2024-001003"/>
    <x v="126"/>
    <d v="2024-05-07T00:00:00"/>
    <d v="2027-05-06T00:00:00"/>
    <s v="Contract"/>
    <s v="3A PRESS, INC."/>
    <s v="LAJAS"/>
    <s v="Inserts, outserts y manuales"/>
    <x v="8"/>
    <n v="52500"/>
    <n v="0"/>
    <n v="6000"/>
    <n v="46500"/>
    <n v="1.01"/>
  </r>
  <r>
    <s v="FIE60-2023-2024-0268"/>
    <s v="2024-001004"/>
    <x v="126"/>
    <d v="2024-05-07T00:00:00"/>
    <d v="2027-05-06T00:00:00"/>
    <s v="Contract"/>
    <s v="3A PRESS, INC."/>
    <s v="LAJAS"/>
    <s v="Inserts, outserts y manuales"/>
    <x v="10"/>
    <n v="1500000"/>
    <n v="0"/>
    <n v="259035.15"/>
    <n v="1240964.8500000001"/>
    <n v="1.01"/>
  </r>
  <r>
    <s v="FIE60-2023-2024-0190"/>
    <s v="2024-000999"/>
    <x v="140"/>
    <d v="2024-05-09T00:00:00"/>
    <d v="2029-05-08T00:00:00"/>
    <s v="Contract"/>
    <s v="TERUMO PUERTO RICO LLC"/>
    <s v="CAGUAS"/>
    <s v="Medical technology"/>
    <x v="8"/>
    <n v="756397"/>
    <n v="0"/>
    <n v="0"/>
    <n v="756397"/>
    <n v="14.42"/>
  </r>
  <r>
    <s v="FIE60-2023-2024-0183"/>
    <s v="2024-001000"/>
    <x v="117"/>
    <d v="2024-05-09T00:00:00"/>
    <d v="2029-05-08T00:00:00"/>
    <s v="Contract"/>
    <s v="TERUMO PUERTO RICO LLC"/>
    <s v="CAGUAS"/>
    <s v="Medical technology"/>
    <x v="9"/>
    <n v="5300000"/>
    <n v="0"/>
    <n v="1940000"/>
    <n v="3360000"/>
    <n v="14.42"/>
  </r>
  <r>
    <s v="FIE60-2023-2024-0252"/>
    <s v="2024-001001"/>
    <x v="130"/>
    <d v="2024-05-09T00:00:00"/>
    <d v="2029-05-08T00:00:00"/>
    <s v="Contract"/>
    <s v="C-AXIS PR, INC."/>
    <s v="CAGUAS"/>
    <s v="Piezas de alta presicion para instrumentos medicos"/>
    <x v="10"/>
    <n v="1300000"/>
    <n v="0"/>
    <n v="850000"/>
    <n v="450000"/>
    <n v="12.74"/>
  </r>
  <r>
    <s v="FIE60-2023-2024-0251"/>
    <s v="2024-001008"/>
    <x v="130"/>
    <d v="2024-05-13T00:00:00"/>
    <d v="2029-05-12T00:00:00"/>
    <s v="Cancelled"/>
    <s v="C-AXIS PR, INC."/>
    <s v="CAGUAS"/>
    <s v="Piezas de alta presicion para instrumentos medicos"/>
    <x v="8"/>
    <n v="122500"/>
    <n v="112700"/>
    <n v="9800"/>
    <n v="0"/>
    <s v="1274%.  Finanzas canceló el 6-9-2025 por incumplimiento de base."/>
  </r>
  <r>
    <s v="FIE60-2023-2024-0137"/>
    <s v="2024-001010"/>
    <x v="141"/>
    <d v="2024-05-13T00:00:00"/>
    <d v="2029-05-12T00:00:00"/>
    <s v="Contract"/>
    <s v="FABRICA DE PALETAS DE PUERTO RICO INC"/>
    <s v="BAYAMON"/>
    <s v="Manufactura de paletas de gelato y smoothies "/>
    <x v="10"/>
    <n v="47594"/>
    <n v="0"/>
    <n v="22327.5"/>
    <n v="25266.5"/>
    <n v="8.52"/>
  </r>
  <r>
    <s v="FIE60-2023-2024-0292"/>
    <s v="2024-001011"/>
    <x v="142"/>
    <d v="2024-05-13T00:00:00"/>
    <d v="2029-05-12T00:00:00"/>
    <s v="Contract"/>
    <s v="CERVECERIA TAKABRU LLC"/>
    <s v="GUAYNABO"/>
    <s v="Manufactuta cervezas artesanales"/>
    <x v="10"/>
    <n v="61112"/>
    <n v="0"/>
    <n v="0"/>
    <n v="61112"/>
    <n v="41.19"/>
  </r>
  <r>
    <s v="FIE60-2023-2024-0043"/>
    <s v="2024-001017"/>
    <x v="143"/>
    <d v="2024-05-13T00:00:00"/>
    <d v="2027-05-12T00:00:00"/>
    <s v="Contract"/>
    <s v="MAYRA DE LA CRUZ ROSARIO"/>
    <s v="CAROLINA"/>
    <s v="Renglón de Tejido"/>
    <x v="15"/>
    <n v="1000"/>
    <n v="0"/>
    <n v="1000"/>
    <n v="0"/>
    <s v="Programa de apoyo a empresarios minoritarios"/>
  </r>
  <r>
    <s v="FIE60-2023-2024-0043"/>
    <s v="2024-001018"/>
    <x v="144"/>
    <d v="2024-05-13T00:00:00"/>
    <d v="2027-05-12T00:00:00"/>
    <s v="Contract"/>
    <s v="VIMARYS RIVERA CACERES"/>
    <s v="HUMACAO"/>
    <s v="Renglón de jabones saponificados,"/>
    <x v="15"/>
    <n v="1000"/>
    <n v="0"/>
    <n v="916"/>
    <n v="84"/>
    <s v="Programa de apoyo a empresarios minoritarios"/>
  </r>
  <r>
    <s v="FIE60-2023-2024-0044"/>
    <s v="2024-001019"/>
    <x v="99"/>
    <d v="2024-05-13T00:00:00"/>
    <d v="2025-05-12T00:00:00"/>
    <s v="Contract"/>
    <s v="KELVIN R MERCADO GONZALEZ"/>
    <s v="AGUADA"/>
    <s v="Dos (2) talleres: Confección de Tejido de Pava de Cogollo y Confección de Máscaras de Vejigantes en Papel Maché"/>
    <x v="15"/>
    <n v="1440"/>
    <n v="0"/>
    <n v="1440"/>
    <n v="0"/>
    <s v="Programa de apoyo a empresarios minoritarios"/>
  </r>
  <r>
    <s v="FIE60-2023-2024-0044"/>
    <s v="2024-001020"/>
    <x v="99"/>
    <d v="2024-05-13T00:00:00"/>
    <d v="2025-05-12T00:00:00"/>
    <s v="Contract"/>
    <s v="ANGEL L. LOPEZ DIAZ"/>
    <s v="AGUADA"/>
    <s v="Taller de Confección de Tejido de Pava de Cogollo"/>
    <x v="15"/>
    <n v="1440"/>
    <n v="0"/>
    <n v="1440"/>
    <n v="0"/>
    <s v="Programa de apoyo a empresarios minoritarios"/>
  </r>
  <r>
    <s v="FIE60-2023-2024-0047"/>
    <s v="2024-001015"/>
    <x v="99"/>
    <d v="2024-05-14T00:00:00"/>
    <d v="2025-05-13T00:00:00"/>
    <s v="Contract"/>
    <s v="MARYORIE A MALDONADO PEREZ h/n/c CAPRICHO'S SALON"/>
    <s v="JUANA DIAZ"/>
    <s v="Sector de servicios"/>
    <x v="24"/>
    <n v="1000"/>
    <n v="0"/>
    <n v="1000"/>
    <n v="0"/>
    <s v="Programa de apoyo a empresarios minoritarios"/>
  </r>
  <r>
    <s v="FIE60-2023-2024-0208"/>
    <s v="2024-001027"/>
    <x v="131"/>
    <d v="2024-05-15T00:00:00"/>
    <d v="2025-05-14T00:00:00"/>
    <s v="Contract"/>
    <s v="DNG, INC."/>
    <s v="SAN SEBASTIAN"/>
    <s v="Manufactura de muebles y gabinetes de cocina"/>
    <x v="33"/>
    <n v="8430"/>
    <n v="0"/>
    <n v="8430"/>
    <n v="0"/>
    <s v="Programa de apoyo a empresarios minoritarios"/>
  </r>
  <r>
    <s v="FIE60-2023-2024-0204"/>
    <s v="2024-001025 "/>
    <x v="131"/>
    <d v="2024-05-16T00:00:00"/>
    <d v="2025-05-15T00:00:00"/>
    <s v="Contract"/>
    <s v="B.B. BEDDING, LLC"/>
    <s v="TRUJILLO ALTO"/>
    <s v="Manufactura de mattresses y Box Springs"/>
    <x v="33"/>
    <n v="33631"/>
    <n v="0"/>
    <n v="33631"/>
    <n v="0"/>
    <s v="Programa de apoyo a empresarios minoritarios"/>
  </r>
  <r>
    <s v="FIE60-2023-2024-0052"/>
    <s v="2024-001022"/>
    <x v="99"/>
    <d v="2024-05-17T00:00:00"/>
    <d v="2024-06-30T00:00:00"/>
    <s v="Contract"/>
    <s v="THE CREATIVE HUB LLC"/>
    <s v="BAYAMON"/>
    <s v="Serie de talleres del DDEC sobre la utilización de la Inteligencia Artificial en la redacción de guiones"/>
    <x v="14"/>
    <n v="60000"/>
    <n v="0"/>
    <n v="60000"/>
    <n v="0"/>
    <s v="Auspicio"/>
  </r>
  <r>
    <s v="FIE60-2023-2024-0044"/>
    <s v="2024-000992-A"/>
    <x v="99"/>
    <d v="2024-05-20T00:00:00"/>
    <d v="2025-06-30T00:00:00"/>
    <s v="Contract"/>
    <s v="MUNICIPIO AUTONOMO DE GUAYNABO"/>
    <s v="GUAYNABO"/>
    <s v="5ta Feria de Artesanía Puertorriqueña de Guaynabo"/>
    <x v="15"/>
    <n v="5411.2"/>
    <n v="0"/>
    <n v="5411.2"/>
    <n v="0"/>
    <s v="Programa de apoyo a empresarios minoritarios"/>
  </r>
  <r>
    <s v="FIE60-2023-2024-0048"/>
    <s v="2024-001033"/>
    <x v="99"/>
    <d v="2024-05-20T00:00:00"/>
    <d v="2024-06-30T00:00:00"/>
    <s v="Contract"/>
    <s v="MUNICIPIO DE SABANA GRANDE"/>
    <s v="SABANA GRANDE"/>
    <s v="Feria Educativa"/>
    <x v="16"/>
    <n v="2800"/>
    <n v="0"/>
    <n v="0"/>
    <n v="2800"/>
    <s v="Programa de apoyo a empresarios minoritarios"/>
  </r>
  <r>
    <s v="FIE60-2023-2024-0162"/>
    <s v="2024-001056"/>
    <x v="112"/>
    <d v="2024-05-20T00:00:00"/>
    <d v="2029-05-19T00:00:00"/>
    <s v="Contract"/>
    <s v="INTERNET VISION DEVELOPMENT CORP."/>
    <s v="SAN JUAN"/>
    <s v="Servicios de ingenieros y arquitectos"/>
    <x v="8"/>
    <n v="147500"/>
    <n v="0"/>
    <n v="44040"/>
    <n v="103460"/>
    <n v="1.44"/>
  </r>
  <r>
    <s v="FIE60-2023-2024-0289"/>
    <s v="2024-001031"/>
    <x v="142"/>
    <d v="2024-05-21T00:00:00"/>
    <d v="2027-05-20T00:00:00"/>
    <s v="Contract"/>
    <s v="1BME INC"/>
    <s v="SAN JUAN"/>
    <s v="Productos de panadería y repostería"/>
    <x v="8"/>
    <n v="10500"/>
    <n v="0"/>
    <n v="0"/>
    <n v="10500"/>
    <n v="6.47"/>
  </r>
  <r>
    <s v="FIE60-2023-2024-0177"/>
    <s v="2024-001032"/>
    <x v="117"/>
    <d v="2024-05-21T00:00:00"/>
    <d v="2029-05-20T00:00:00"/>
    <s v="Contract"/>
    <s v="COMBE PRODUCTS, INC"/>
    <s v="NAGUABO"/>
    <s v="Drogas y preparaciones farmacéuticas"/>
    <x v="10"/>
    <n v="1800000"/>
    <n v="0"/>
    <n v="0"/>
    <n v="1800000"/>
    <n v="10.9"/>
  </r>
  <r>
    <s v="FIE60-2023-2024-0068"/>
    <s v="2024-001035"/>
    <x v="99"/>
    <d v="2024-05-21T00:00:00"/>
    <d v="2025-11-20T00:00:00"/>
    <s v="Contract"/>
    <s v="PARAISO RESTAURANT CORP"/>
    <s v="PONCE "/>
    <s v="Bebidas / Alimentos"/>
    <x v="31"/>
    <n v="5000"/>
    <n v="0"/>
    <n v="0"/>
    <n v="5000"/>
    <s v="Programa de apoyo a empresarios minoritarios"/>
  </r>
  <r>
    <s v="FIE60-2023-2024-0272"/>
    <s v="2024-001042"/>
    <x v="126"/>
    <d v="2024-05-22T00:00:00"/>
    <d v="2024-05-21T00:00:00"/>
    <s v="Contract"/>
    <s v="BIG CAKE, INC"/>
    <s v="PONCE "/>
    <s v="Productos de panadería y repostería"/>
    <x v="10"/>
    <n v="37000"/>
    <n v="0"/>
    <n v="0"/>
    <n v="37000"/>
    <n v="1.03"/>
  </r>
  <r>
    <s v="FIE60-2023-2024-0297"/>
    <s v="2024-001040"/>
    <x v="145"/>
    <d v="2024-05-23T00:00:00"/>
    <d v="2029-05-22T00:00:00"/>
    <s v="Contract"/>
    <s v="SMARTWEAVE PR INC"/>
    <s v="AGUADILLA"/>
    <s v="Manufactura miscelánea"/>
    <x v="10"/>
    <n v="4800000"/>
    <n v="0"/>
    <n v="0"/>
    <n v="4800000"/>
    <n v="1.81"/>
  </r>
  <r>
    <s v="FIE60-2023-2024-0296"/>
    <s v="2024-001041"/>
    <x v="145"/>
    <d v="2024-05-23T00:00:00"/>
    <d v="2029-05-22T00:00:00"/>
    <s v="Contract"/>
    <s v="SMARTWEAVE PR INC"/>
    <s v="AGUADILLA"/>
    <s v="Manufactura miscelánea"/>
    <x v="8"/>
    <n v="180000"/>
    <n v="0"/>
    <n v="0"/>
    <n v="180000"/>
    <n v="1.81"/>
  </r>
  <r>
    <s v="FIE60-2023-2024-0143"/>
    <s v="2024-001065-A"/>
    <x v="108"/>
    <d v="2024-05-28T00:00:00"/>
    <d v="2024-06-30T00:00:00"/>
    <s v="Contract"/>
    <s v="UNIVERSIDAD ANA G MENDEZ"/>
    <s v="SAN JUAN"/>
    <s v="Centro Empresarial para la Mujer Ana G. Mendez"/>
    <x v="30"/>
    <n v="33000"/>
    <n v="0"/>
    <n v="0"/>
    <n v="33000"/>
    <s v="Programa de apoyo a empresarios minoritarios"/>
  </r>
  <r>
    <s v="FIE60-2023-2024-0283"/>
    <s v="2024-001046"/>
    <x v="132"/>
    <d v="2024-05-29T00:00:00"/>
    <d v="2029-05-28T00:00:00"/>
    <s v="Contract"/>
    <s v="SOLO GROUP LLC"/>
    <s v="BAYAMON"/>
    <s v="Drogas y preparaciones farmacéuticas "/>
    <x v="8"/>
    <n v="2000"/>
    <n v="0"/>
    <n v="0"/>
    <n v="2000"/>
    <n v="4.34"/>
  </r>
  <r>
    <s v="FIE60-2023-2024-0284"/>
    <s v="2024-001047"/>
    <x v="132"/>
    <d v="2024-05-29T00:00:00"/>
    <d v="2029-05-28T00:00:00"/>
    <s v="Contract"/>
    <s v="SOLO GROUP LLC"/>
    <s v="BAYAMON"/>
    <s v="Drogas y preparaciones farmacéuticas "/>
    <x v="10"/>
    <n v="60000"/>
    <n v="0"/>
    <n v="0"/>
    <n v="60000"/>
    <n v="4.34"/>
  </r>
  <r>
    <s v="FIE60-2023-2024-0271"/>
    <s v="2024-001048"/>
    <x v="126"/>
    <d v="2024-05-29T00:00:00"/>
    <d v="2027-05-28T00:00:00"/>
    <s v="Contract"/>
    <s v="BIG CAKE, INC"/>
    <s v="PONCE "/>
    <s v="Productos de panadería y repostería"/>
    <x v="8"/>
    <n v="7500"/>
    <n v="0"/>
    <n v="0"/>
    <n v="7500"/>
    <n v="1.03"/>
  </r>
  <r>
    <s v="FIE60-2023-2024-0290"/>
    <s v="2024-001049"/>
    <x v="142"/>
    <d v="2024-05-29T00:00:00"/>
    <d v="2027-05-28T00:00:00"/>
    <s v="Contract"/>
    <s v="1BME INC"/>
    <s v="SAN JUAN"/>
    <s v="Productos de panadería y repostería"/>
    <x v="10"/>
    <n v="10000"/>
    <n v="0"/>
    <n v="0"/>
    <n v="10000"/>
    <n v="6.47"/>
  </r>
  <r>
    <s v="FIE60-2023-2024-0269"/>
    <s v="2024-001050"/>
    <x v="126"/>
    <d v="2024-05-29T00:00:00"/>
    <d v="2027-05-28T00:00:00"/>
    <s v="Contract"/>
    <s v="ESPECIAS MONTERO INC"/>
    <s v="PONCE "/>
    <s v="Productos misceláneos de alimentos"/>
    <x v="10"/>
    <n v="30000"/>
    <n v="0"/>
    <n v="0"/>
    <n v="30000"/>
    <n v="40.479999999999997"/>
  </r>
  <r>
    <s v="FIE60-2023-2024-0209"/>
    <s v="2024-001058"/>
    <x v="131"/>
    <d v="2024-05-31T00:00:00"/>
    <d v="2025-05-30T00:00:00"/>
    <s v="Contract"/>
    <s v="DIAZ BROTHERS, INC."/>
    <s v="PONCE "/>
    <s v="Manufactura de &quot;Mattresses y Box Springs&quot;,"/>
    <x v="33"/>
    <n v="5442"/>
    <n v="0"/>
    <n v="5442"/>
    <n v="0"/>
    <s v="Programa de apoyo a empresarios minoritarios"/>
  </r>
  <r>
    <s v="FIE60-2023-2024-0241"/>
    <s v="2024-001062"/>
    <x v="129"/>
    <d v="2024-05-31T00:00:00"/>
    <d v="2025-05-30T00:00:00"/>
    <s v="Contract"/>
    <s v="BLANCO &amp; RIERA, INC."/>
    <s v="SAN JUAN"/>
    <s v="Manufactura de ropa en general y deportiva"/>
    <x v="33"/>
    <n v="1667"/>
    <n v="0"/>
    <n v="1667"/>
    <n v="0"/>
    <s v="Programa de apoyo a empresarios minoritarios"/>
  </r>
  <r>
    <s v="FIE60-2023-2024-0242"/>
    <s v="2024-001063"/>
    <x v="129"/>
    <d v="2024-05-31T00:00:00"/>
    <d v="2025-05-30T00:00:00"/>
    <s v="Contract"/>
    <s v="LA POLA, LLC"/>
    <s v="CAGUAS"/>
    <s v="Manufactura ropa en general y productos relacionados"/>
    <x v="33"/>
    <n v="2626"/>
    <n v="0"/>
    <n v="2626"/>
    <n v="0"/>
    <s v="Programa de apoyo a empresarios minoritarios"/>
  </r>
  <r>
    <s v="FIE60-2023-2024-0239"/>
    <s v="2024-001067"/>
    <x v="129"/>
    <d v="2024-05-31T00:00:00"/>
    <d v="2025-05-30T00:00:00"/>
    <s v="Contract"/>
    <s v="GLOBAL MANUFACTURING, LLC"/>
    <s v="PONCE "/>
    <s v="Manufactura de &quot;Mattresses y Box_x000a_Springs&quot;"/>
    <x v="33"/>
    <n v="69564"/>
    <n v="0"/>
    <n v="69564"/>
    <n v="0"/>
    <s v="Programa de apoyo a empresarios minoritarios"/>
  </r>
  <r>
    <s v="FIE60-2023-2024-0326"/>
    <s v="2024-001063-A"/>
    <x v="146"/>
    <d v="2024-06-03T00:00:00"/>
    <d v="2025-05-30T00:00:00"/>
    <s v="Contract"/>
    <s v="LA POLA, LLC"/>
    <s v="CAGUAS"/>
    <s v="Manufactura de ropa y productos relacionados"/>
    <x v="33"/>
    <n v="1969"/>
    <n v="0"/>
    <n v="1969"/>
    <n v="0"/>
    <s v="Programa de apoyo a empresarios minoritarios"/>
  </r>
  <r>
    <s v="FIE60-2023-2024-0044"/>
    <s v="2024-001070"/>
    <x v="99"/>
    <d v="2024-06-03T00:00:00"/>
    <d v="2025-06-30T00:00:00"/>
    <s v="Contract"/>
    <s v="CONSEJO JUANADINO PRO-FESTEJOS DE REYES"/>
    <s v="JUANA DIAZ"/>
    <s v="Certamen de Tallas en madera en honor del Santo Patrón de Juana Díaz San Ramón Nonato"/>
    <x v="15"/>
    <n v="2715"/>
    <n v="0"/>
    <n v="2715"/>
    <n v="0"/>
    <s v="Programa de apoyo a empresarios minoritarios"/>
  </r>
  <r>
    <s v="FIE60-2023-2024-0050"/>
    <s v="2024-000768-A"/>
    <x v="99"/>
    <d v="2024-06-04T00:00:00"/>
    <d v="2024-08-30T00:00:00"/>
    <s v="Contract"/>
    <s v="EMPRENDE PR, LLC"/>
    <s v="NARANJITO"/>
    <s v="Evento: &quot;Emprender está de Moda&quot;"/>
    <x v="16"/>
    <n v="60000"/>
    <n v="0"/>
    <n v="45600"/>
    <n v="14400"/>
    <s v="Programa de apoyo a empresarios minoritarios"/>
  </r>
  <r>
    <s v="FIE60-2023-2024-0225"/>
    <s v="2024-000846-A"/>
    <x v="118"/>
    <d v="2024-06-04T00:00:00"/>
    <d v="2029-03-11T00:00:00"/>
    <s v="Contract"/>
    <s v="GSD MARBLE, INC."/>
    <s v="BAYAMON"/>
    <s v="Manufactura de topes en cuarzo y granito para cocinas y barios"/>
    <x v="10"/>
    <n v="76508"/>
    <n v="0"/>
    <n v="0"/>
    <n v="76508"/>
    <n v="6.76"/>
  </r>
  <r>
    <s v="FIE60-2023-2024-0194"/>
    <s v="2024-000987-A"/>
    <x v="138"/>
    <d v="2024-06-04T00:00:00"/>
    <d v="2029-05-02T00:00:00"/>
    <s v="Contract"/>
    <s v="FURNITURE COMPANY AA CORP"/>
    <s v="SAN JUAN"/>
    <s v="Manufactura de Muebles Hogar e _x000a_Institucional "/>
    <x v="10"/>
    <n v="75000"/>
    <n v="0"/>
    <n v="0"/>
    <n v="75000"/>
    <n v="12.91"/>
  </r>
  <r>
    <s v="FIE60-2023-2024-0205"/>
    <s v="2024-001083"/>
    <x v="131"/>
    <d v="2024-06-04T00:00:00"/>
    <d v="2025-06-03T00:00:00"/>
    <s v="Contract"/>
    <s v="A. AVANTI KITCHENS, INC."/>
    <s v="CANOVANAS"/>
    <s v="Gabinetes de cocina y baños, topes de cocina   "/>
    <x v="33"/>
    <n v="67880"/>
    <n v="0"/>
    <n v="67880"/>
    <n v="0"/>
    <s v="Programa de apoyo a empresarios minoritarios"/>
  </r>
  <r>
    <s v="FIE60-2023-2024-0325"/>
    <s v="2024-001083-A"/>
    <x v="146"/>
    <d v="2024-06-04T00:00:00"/>
    <d v="2025-06-03T00:00:00"/>
    <s v="Contract"/>
    <s v="A. AVANTI KITCHENS, INC."/>
    <s v="CANOVANAS"/>
    <s v="Manufactura de gabinetes de cocina y muebles de patio"/>
    <x v="33"/>
    <n v="63234"/>
    <n v="0"/>
    <n v="63234"/>
    <n v="0"/>
    <s v="Programa de apoyo a empresarios minoritarios"/>
  </r>
  <r>
    <s v="FIE60-2023-2024-0047"/>
    <s v="2024-001074"/>
    <x v="99"/>
    <d v="2024-06-05T00:00:00"/>
    <d v="2025-06-04T00:00:00"/>
    <s v="Contract"/>
    <s v="YARITZA E SANTIAGO CASTRO H/N/C ARTESANO HEALTHY NUTRITION"/>
    <s v="LAS PIEDRAS"/>
    <s v="Venta de alimentos y productos para control de peso"/>
    <x v="24"/>
    <n v="5000"/>
    <n v="0"/>
    <n v="5000"/>
    <n v="0"/>
    <s v="Programa de apoyo a empresarios minoritarios"/>
  </r>
  <r>
    <s v="FIE60-2023-2024-0047"/>
    <s v="2024-001079"/>
    <x v="99"/>
    <d v="2024-06-05T00:00:00"/>
    <d v="2024-06-04T00:00:00"/>
    <s v="Contract"/>
    <s v="JOSUÉ E DE LA CRUZ BABILONIA H/N/C DESPACHO LEGAL LCDO JOSUÉ E DE LA CRUZ BABILONIA"/>
    <s v="MOCA"/>
    <s v="Despacho legal donde se brindan servicios legales y notariales"/>
    <x v="24"/>
    <n v="5000"/>
    <n v="0"/>
    <n v="5000"/>
    <n v="0"/>
    <s v="Programa de apoyo a empresarios minoritarios"/>
  </r>
  <r>
    <s v="FIE60-2023-2024-0305"/>
    <s v="2024-001084"/>
    <x v="147"/>
    <d v="2024-06-05T00:00:00"/>
    <d v="2029-06-04T00:00:00"/>
    <s v="Contract"/>
    <s v="BAKERS BROS LLC"/>
    <s v="BAYAMON"/>
    <s v="Productos de panadería y repostería"/>
    <x v="8"/>
    <n v="18750"/>
    <n v="0"/>
    <n v="0"/>
    <n v="18750"/>
    <n v="1.33"/>
  </r>
  <r>
    <s v="FIE60-2023-2024-0047"/>
    <s v="2024-001076"/>
    <x v="99"/>
    <d v="2024-06-06T00:00:00"/>
    <d v="2025-06-05T00:00:00"/>
    <s v="Contract"/>
    <s v="CAFE LEGAL ANTONELLA LLC"/>
    <s v="SANTA ISABEL"/>
    <s v="Café (Coffee Shop)"/>
    <x v="24"/>
    <n v="5000"/>
    <n v="0"/>
    <n v="5000"/>
    <n v="0"/>
    <s v="Programa de apoyo a empresarios minoritarios"/>
  </r>
  <r>
    <s v="FIE60-2023-2024-0047"/>
    <s v="2024-001077"/>
    <x v="99"/>
    <d v="2024-06-06T00:00:00"/>
    <d v="2025-06-05T00:00:00"/>
    <s v="Contract"/>
    <s v="ABC THERAPY AND LEARNING CENTER LLC"/>
    <s v="SAN SEBASTIAN"/>
    <s v="Oficina de Servicios de terapia del habla y lenguaje y servicios psicológicos"/>
    <x v="24"/>
    <n v="5000"/>
    <n v="0"/>
    <n v="5000"/>
    <n v="0"/>
    <s v="Programa de apoyo a empresarios minoritarios"/>
  </r>
  <r>
    <s v="FIE60-2023-2024-0047"/>
    <s v="2024-001078"/>
    <x v="99"/>
    <d v="2024-06-06T00:00:00"/>
    <d v="2025-06-05T00:00:00"/>
    <s v="Contract"/>
    <s v="SHIRLEY KRIFTER H/N/C SHIRLEY KRIFTER"/>
    <s v="GUAYNABO"/>
    <s v="Confección y venta de prendas de vestir y accesorios de damas"/>
    <x v="24"/>
    <n v="5000"/>
    <n v="0"/>
    <n v="5000"/>
    <n v="0"/>
    <s v="Programa de apoyo a empresarios minoritarios"/>
  </r>
  <r>
    <s v="FIE60-2023-2024-0047"/>
    <s v="2024-001081"/>
    <x v="99"/>
    <d v="2024-06-06T00:00:00"/>
    <d v="2024-06-05T00:00:00"/>
    <s v="Contract"/>
    <s v="PORTABARRA, LLC"/>
    <s v="TOA BAJA"/>
    <s v="Servicio de alquiler de barras por módulos y portables."/>
    <x v="24"/>
    <n v="4000"/>
    <n v="0"/>
    <n v="4000"/>
    <n v="0"/>
    <s v="Programa de apoyo a empresarios minoritarios"/>
  </r>
  <r>
    <s v="FIE60-2023-2024-0068"/>
    <s v="2024-001082"/>
    <x v="99"/>
    <d v="2024-06-06T00:00:00"/>
    <d v="2025-12-05T00:00:00"/>
    <s v="Contract"/>
    <s v="MEDICAL ADMIN SOLUTIONS"/>
    <s v="PONCE "/>
    <s v="Consultoría y Mentoría de servicios administrativos. Facturación de Planes Médicos"/>
    <x v="31"/>
    <n v="3000"/>
    <n v="0"/>
    <n v="0"/>
    <n v="3000"/>
    <s v="Programa de apoyo a empresarios minoritarios"/>
  </r>
  <r>
    <s v="FIE60-2023-2024-0228"/>
    <s v="2024-001090"/>
    <x v="118"/>
    <d v="2024-06-06T00:00:00"/>
    <d v="2029-06-05T00:00:00"/>
    <s v="Contract"/>
    <s v="MAREY HEATER CORPORATION"/>
    <s v="SAN JUAN"/>
    <s v="Maquinaria eléctrica"/>
    <x v="10"/>
    <n v="84600"/>
    <n v="0"/>
    <n v="0"/>
    <n v="84600"/>
    <n v="4.41"/>
  </r>
  <r>
    <s v="FIE60-2023-2024-0307"/>
    <s v="2024-001085"/>
    <x v="147"/>
    <d v="2024-06-09T00:00:00"/>
    <d v="2027-06-08T00:00:00"/>
    <s v="Contract"/>
    <s v="GOSEN FOODS LLC"/>
    <s v="MOCA"/>
    <s v="Productos misceláneos de alimentos "/>
    <x v="8"/>
    <n v="12000"/>
    <n v="0"/>
    <n v="0"/>
    <n v="12000"/>
    <n v="2.04"/>
  </r>
  <r>
    <s v="FIE60-2023-2024-0308"/>
    <s v="2024-001089"/>
    <x v="147"/>
    <d v="2024-06-09T00:00:00"/>
    <d v="2029-06-08T00:00:00"/>
    <s v="Contract"/>
    <s v="GOSEN FOODS LLC"/>
    <s v="MOCA"/>
    <s v="Productos misceláneos de alimentos "/>
    <x v="10"/>
    <n v="105890"/>
    <n v="0"/>
    <n v="0"/>
    <n v="105890"/>
    <n v="2.04"/>
  </r>
  <r>
    <s v="FIE60-2023-2024-0306"/>
    <s v="2024-001086"/>
    <x v="147"/>
    <d v="2024-06-10T00:00:00"/>
    <d v="2029-06-09T00:00:00"/>
    <s v="Contract"/>
    <s v="BAKERS BROS LLC"/>
    <s v="BAYAMON"/>
    <s v="Productos de panadería y repostería"/>
    <x v="10"/>
    <n v="100000"/>
    <n v="0"/>
    <n v="100000"/>
    <n v="0"/>
    <n v="1.33"/>
  </r>
  <r>
    <s v="FIE60-2023-2024-0075"/>
    <s v="2024-001045"/>
    <x v="94"/>
    <d v="2024-06-11T00:00:00"/>
    <d v="2029-06-10T00:00:00"/>
    <s v="Contract"/>
    <s v="OPTUM SERVICES (PUERTO RICO) LLC"/>
    <s v="SAN JUAN"/>
    <s v="Servicios misceláneos de salud"/>
    <x v="8"/>
    <n v="3537500"/>
    <n v="0"/>
    <n v="0"/>
    <n v="3537500"/>
    <n v="16.63"/>
  </r>
  <r>
    <s v="FIE60-2023-2024-0074"/>
    <s v="2024-001057"/>
    <x v="94"/>
    <d v="2024-06-11T00:00:00"/>
    <d v="2029-06-10T00:00:00"/>
    <s v="Contract"/>
    <s v="OPTUM SERVICES (PUERTO RICO) LLC"/>
    <s v="SAN JUAN"/>
    <s v="Servicios misceláneos de salud"/>
    <x v="10"/>
    <n v="550000"/>
    <n v="0"/>
    <n v="0"/>
    <n v="550000"/>
    <n v="16.63"/>
  </r>
  <r>
    <s v="FIE60-2023-2024-0047"/>
    <s v="2024-001095"/>
    <x v="99"/>
    <d v="2024-06-11T00:00:00"/>
    <d v="2025-06-10T00:00:00"/>
    <s v="Contract"/>
    <s v="YAMKA LLC H/N/C DONATELLO CLINICAL LAB"/>
    <s v="CABO ROJO"/>
    <s v="Laboratorio clínico"/>
    <x v="24"/>
    <n v="9400"/>
    <n v="0"/>
    <n v="9400"/>
    <n v="0"/>
    <s v="Programa de apoyo a empresarios minoritarios"/>
  </r>
  <r>
    <s v="FIE60-2023-2024-0327"/>
    <s v="2024-001088"/>
    <x v="131"/>
    <d v="2024-06-12T00:00:00"/>
    <d v="2025-06-11T00:00:00"/>
    <s v="Contract"/>
    <s v="FE-RI CONSTRUCTION, INC."/>
    <s v="GUAYNABO"/>
    <s v="Manufactura de muebles para oficinas, comercios y residenciales."/>
    <x v="33"/>
    <n v="10083"/>
    <n v="0"/>
    <n v="10083"/>
    <n v="0"/>
    <s v="Programa de apoyo a empresarios minoritarios"/>
  </r>
  <r>
    <s v="FIE60-2023-2024-0196"/>
    <s v="2024-001091"/>
    <x v="148"/>
    <d v="2024-06-12T00:00:00"/>
    <d v="2029-06-11T00:00:00"/>
    <s v="Contract"/>
    <s v="GRAPHIC PRINT &amp; DESIGN CORPORATION"/>
    <s v="SAN JUAN"/>
    <s v="Imprenta y editoriales"/>
    <x v="10"/>
    <n v="172800"/>
    <n v="0"/>
    <n v="0"/>
    <n v="172800"/>
    <n v="9.25"/>
  </r>
  <r>
    <s v="FIE60-2023-2024-0195"/>
    <s v="2024-001092"/>
    <x v="148"/>
    <d v="2024-06-12T00:00:00"/>
    <d v="2027-06-11T00:00:00"/>
    <s v="Contract"/>
    <s v="GRAPHIC PRINT &amp; DESIGN CORPORATION"/>
    <s v="SAN JUAN"/>
    <s v="Imprenta y editoriales"/>
    <x v="8"/>
    <n v="7500"/>
    <n v="0"/>
    <n v="0"/>
    <n v="7500"/>
    <n v="9.25"/>
  </r>
  <r>
    <s v="FIE60-2023-2024-0227"/>
    <s v="2024-001093"/>
    <x v="118"/>
    <d v="2024-06-12T00:00:00"/>
    <d v="2027-06-11T00:00:00"/>
    <s v="Contract"/>
    <s v="MAREY HEATER CORPORATION"/>
    <s v="SAN JUAN"/>
    <s v="Maquinaria eléctrica"/>
    <x v="8"/>
    <n v="4500"/>
    <n v="0"/>
    <n v="0"/>
    <n v="4500"/>
    <n v="4.41"/>
  </r>
  <r>
    <s v="FIE60-2023-2024-0264"/>
    <s v="2024-001094"/>
    <x v="126"/>
    <d v="2024-06-12T00:00:00"/>
    <d v="2027-06-11T00:00:00"/>
    <s v="Contract"/>
    <s v="PRODUCTOS DEL ALTO INC"/>
    <s v="PONCE "/>
    <s v="Productos misceláneos de alimentos "/>
    <x v="8"/>
    <n v="750"/>
    <n v="0"/>
    <n v="0"/>
    <n v="750"/>
    <n v="1.25"/>
  </r>
  <r>
    <s v="FIE60-2023-2024-0229"/>
    <s v="2024-001097"/>
    <x v="118"/>
    <d v="2024-06-12T00:00:00"/>
    <d v="2029-06-11T00:00:00"/>
    <s v="Contract"/>
    <s v="ROTULOS SANTANA, INC."/>
    <s v="SAN JUAN"/>
    <s v="Manufactura miscelánea"/>
    <x v="10"/>
    <n v="9360"/>
    <n v="0"/>
    <n v="0"/>
    <n v="9360"/>
    <n v="6.46"/>
  </r>
  <r>
    <s v="FIE60-2023-2024-0047"/>
    <s v="2024-001099"/>
    <x v="99"/>
    <d v="2024-06-12T00:00:00"/>
    <d v="2025-06-11T00:00:00"/>
    <s v="Contract"/>
    <s v="KIARA TAILY RIVERA CARRASQUILLO H/N/C ECONATIVEE"/>
    <s v="CAGUAS"/>
    <s v="Servicio de desayunos tipo &quot;brunch&quot; con cosechas locales y eco-consientes"/>
    <x v="24"/>
    <n v="5000"/>
    <n v="0"/>
    <n v="5000"/>
    <n v="0"/>
    <s v="Programa de apoyo a empresarios minoritarios"/>
  </r>
  <r>
    <s v="FIE60-2023-2024-0261"/>
    <s v="2024-000958-A"/>
    <x v="149"/>
    <d v="2024-06-14T00:00:00"/>
    <d v="2025-04-16T00:00:00"/>
    <s v="Contract"/>
    <s v="JOAQUIN AVINO, INC."/>
    <s v="CAROLINA"/>
    <s v="Manufacturan puertas, marcos y ventanas en madera"/>
    <x v="33"/>
    <n v="7796"/>
    <n v="0"/>
    <n v="7796"/>
    <n v="0"/>
    <s v="Programa de apoyo a empresarios minoritarios"/>
  </r>
  <r>
    <s v="FIE60-2023-2024-0260"/>
    <s v="2024-001009-A"/>
    <x v="149"/>
    <d v="2024-06-14T00:00:00"/>
    <d v="2025-05-07T00:00:00"/>
    <s v="Contract"/>
    <s v="L.S. QUILTING, INC."/>
    <s v="TOA ALTA"/>
    <s v="Manufactura de colchas"/>
    <x v="33"/>
    <n v="15016"/>
    <n v="0"/>
    <n v="15016"/>
    <n v="0"/>
    <s v="Programa de apoyo a empresarios minoritarios"/>
  </r>
  <r>
    <s v="FIE60-2023-2024-0068"/>
    <s v="2024-001108"/>
    <x v="99"/>
    <d v="2024-06-14T00:00:00"/>
    <d v="2025-12-13T00:00:00"/>
    <s v="Contract"/>
    <s v="RICH MINDS LLC"/>
    <s v="CAROLINA"/>
    <s v="&quot;Food truck&quot; y restaurante"/>
    <x v="31"/>
    <n v="3000"/>
    <n v="0"/>
    <n v="0"/>
    <n v="3000"/>
    <s v="Programa de apoyo a empresarios minoritarios"/>
  </r>
  <r>
    <s v="FIE60-2023-2024-0315"/>
    <s v="2024-001059"/>
    <x v="150"/>
    <d v="2024-06-17T00:00:00"/>
    <d v="2025-06-30T00:00:00"/>
    <s v="Contract"/>
    <s v="BRAINHI, INC."/>
    <s v="SAN JUAN"/>
    <s v="Servicios de ingenieros y arquitectos"/>
    <x v="32"/>
    <n v="50000"/>
    <n v="0"/>
    <n v="0"/>
    <n v="50000"/>
    <n v="18.71"/>
  </r>
  <r>
    <s v="FIE60-2023-2024-0064"/>
    <s v="2024-001064"/>
    <x v="99"/>
    <d v="2024-06-17T00:00:00"/>
    <d v="2029-06-30T00:00:00"/>
    <s v="Contract"/>
    <s v="TRIANGLE TRADING &amp; MFG CO. INC"/>
    <s v="CAROLINA"/>
    <s v="Productos de goma y plástico "/>
    <x v="10"/>
    <n v="120000"/>
    <n v="0"/>
    <n v="0"/>
    <n v="120000"/>
    <n v="0.53"/>
  </r>
  <r>
    <s v="FIE60-2023-2024-0065"/>
    <s v="2024-001109"/>
    <x v="99"/>
    <d v="2024-06-17T00:00:00"/>
    <d v="2027-06-16T00:00:00"/>
    <s v="Contract"/>
    <s v="TRIANGLE TRADING &amp; MFG CO. INC"/>
    <s v="CAROLINA"/>
    <s v="Productos de goma y plástico "/>
    <x v="8"/>
    <n v="10500"/>
    <n v="0"/>
    <n v="0"/>
    <n v="10500"/>
    <n v="0.53"/>
  </r>
  <r>
    <s v="FIE60-2023-2024-0295"/>
    <s v="2024-001110"/>
    <x v="145"/>
    <d v="2024-06-17T00:00:00"/>
    <d v="2031-06-30T00:00:00"/>
    <s v="Contract"/>
    <s v="GREAT LAKE SOLEX, LLC"/>
    <s v="AGUADILLA"/>
    <s v="Maquinaria eléctrica"/>
    <x v="10"/>
    <n v="6408000"/>
    <n v="0"/>
    <n v="0"/>
    <n v="6408000"/>
    <n v="13.93"/>
  </r>
  <r>
    <s v="FIE60-2023-2024-0304"/>
    <s v="2024-001111"/>
    <x v="151"/>
    <d v="2024-06-17T00:00:00"/>
    <d v="2029-12-31T00:00:00"/>
    <s v="Contract"/>
    <s v="GREAT LAKE SOLEX, LLC"/>
    <s v="AGUADILLA"/>
    <s v="Maquinaria eléctrica"/>
    <x v="8"/>
    <n v="6408000"/>
    <n v="0"/>
    <n v="0"/>
    <n v="6408000"/>
    <n v="13.93"/>
  </r>
  <r>
    <s v="FIE60-2023-2024-0314"/>
    <s v="2024-001120"/>
    <x v="150"/>
    <d v="2024-06-17T00:00:00"/>
    <d v="2029-12-31T00:00:00"/>
    <s v="Contract"/>
    <s v="BRAINHI, INC."/>
    <s v="SAN JUAN"/>
    <s v="Servicios de ingenieros y arquitectos"/>
    <x v="8"/>
    <n v="98000"/>
    <n v="0"/>
    <n v="0"/>
    <n v="98000"/>
    <n v="18.71"/>
  </r>
  <r>
    <s v="FIE60-2023-2024-0068"/>
    <s v="2024-001114"/>
    <x v="99"/>
    <d v="2024-06-18T00:00:00"/>
    <d v="2025-12-17T00:00:00"/>
    <s v="Contract"/>
    <s v="COSTURERAS SOÑADORAS INC"/>
    <s v="TRUJILLO ALTO"/>
    <s v="Cursos de costura y diseño de moda, programa de formación práctica en costura"/>
    <x v="31"/>
    <n v="5000"/>
    <n v="0"/>
    <n v="0"/>
    <n v="5000"/>
    <s v="Programa de apoyo a empresarios minoritarios"/>
  </r>
  <r>
    <s v="FIE60-2023-2024-0143"/>
    <s v="2024-000806-A"/>
    <x v="108"/>
    <d v="2024-06-21T00:00:00"/>
    <d v="2025-06-30T00:00:00"/>
    <s v="Contract"/>
    <s v="FUNDACION SILA M. CALDERON, INC."/>
    <s v="SAN JUAN"/>
    <s v="Centros de Emprendimientos para la Mujer"/>
    <x v="30"/>
    <n v="33000"/>
    <n v="0"/>
    <n v="24661.07"/>
    <n v="8338.93"/>
    <s v="Auspicio"/>
  </r>
  <r>
    <s v="FIE60-2023-2024-0332"/>
    <s v="2024-000957-A"/>
    <x v="146"/>
    <d v="2024-06-21T00:00:00"/>
    <d v="2025-04-16T00:00:00"/>
    <s v="Contract"/>
    <s v="COMERCIAL TORO, INC. DBA TOPES TORO"/>
    <s v="CABO ROJO"/>
    <s v="Manufactura de gabinetes y topes de cocinas"/>
    <x v="33"/>
    <n v="780"/>
    <n v="0"/>
    <n v="780"/>
    <n v="0"/>
    <s v="Programa de apoyo a empresarios minoritarios"/>
  </r>
  <r>
    <s v="FIE60-2023-2024-0259"/>
    <s v="2024-001058-A"/>
    <x v="149"/>
    <d v="2024-06-21T00:00:00"/>
    <d v="2025-05-30T00:00:00"/>
    <s v="Contract"/>
    <s v="DIAZ BROTHERS, INC."/>
    <s v="PONCE "/>
    <s v="Manufactura de &quot;Mattresses y Box Springs&quot;,"/>
    <x v="33"/>
    <n v="6480"/>
    <n v="0"/>
    <n v="6480"/>
    <n v="0"/>
    <s v="Programa de apoyo a empresarios minoritarios"/>
  </r>
  <r>
    <s v="FIE60-2023-2024-0333"/>
    <s v="2024-001058-B"/>
    <x v="146"/>
    <d v="2024-06-21T00:00:00"/>
    <d v="2025-05-30T00:00:00"/>
    <s v="Contract"/>
    <s v="DIAZ BROTHERS, INC."/>
    <s v="PONCE "/>
    <s v="Manufacturan mattresses and box springs"/>
    <x v="33"/>
    <n v="6026"/>
    <n v="0"/>
    <n v="6026"/>
    <n v="0"/>
    <s v="Programa de apoyo a empresarios minoritarios"/>
  </r>
  <r>
    <s v="FIE60-2023-2024-0047"/>
    <s v="2024-001116"/>
    <x v="99"/>
    <d v="2024-06-21T00:00:00"/>
    <d v="2025-06-20T00:00:00"/>
    <s v="Contract"/>
    <s v="Gabriela M. Medina Santiago H/N/C Finca La Jiba"/>
    <s v="MARICAO"/>
    <s v="Sector agrícola"/>
    <x v="24"/>
    <n v="1000"/>
    <n v="0"/>
    <n v="1000"/>
    <n v="0"/>
    <s v="Programa de apoyo a empresarios minoritarios"/>
  </r>
  <r>
    <s v="FIE60-2023-2024-0044"/>
    <s v="2024-001117"/>
    <x v="99"/>
    <d v="2024-06-21T00:00:00"/>
    <d v="2025-06-30T00:00:00"/>
    <s v="Contract"/>
    <s v="CASA PEPINIANA DE LA CULTURA, INC."/>
    <s v="SAN SEBASTIAN"/>
    <s v="Cuadragésimo Cuarto (44) Festival Nacional de la Hamaca 2024"/>
    <x v="15"/>
    <n v="13282.8"/>
    <n v="0"/>
    <n v="0"/>
    <n v="13282.8"/>
    <s v="Programa de apoyo a empresarios minoritarios"/>
  </r>
  <r>
    <s v="FIE60-2023-2024-0045"/>
    <s v="2024-001118"/>
    <x v="99"/>
    <d v="2024-06-21T00:00:00"/>
    <d v="2025-05-31T00:00:00"/>
    <s v="Contract"/>
    <s v="JAIME CRUZ LEON"/>
    <s v="LARES"/>
    <s v="6 serigrafias a otorgarse a los artesanos homenajeados en la Actividad de &quot;SERIE 45 JULIO MES DEL ARTESANO 2024&quot;,"/>
    <x v="15"/>
    <n v="7200"/>
    <n v="0"/>
    <n v="7200"/>
    <n v="0"/>
    <s v="Programa de apoyo a empresarios minoritarios"/>
  </r>
  <r>
    <s v="FIE60-2023-2024-0044"/>
    <s v="2024-001123"/>
    <x v="99"/>
    <d v="2024-06-21T00:00:00"/>
    <d v="2025-06-30T00:00:00"/>
    <s v="Contract"/>
    <s v="CENTRO CULTURAL LUIS MUNOZ RIVERA, INC."/>
    <s v="BARRANQUITAS"/>
    <s v="63 Aniversario de la Feria Nacional de Artesanías"/>
    <x v="15"/>
    <n v="7500"/>
    <n v="0"/>
    <n v="7500"/>
    <n v="0"/>
    <s v="Programa de apoyo a empresarios minoritarios"/>
  </r>
  <r>
    <s v="FIE60-2023-2024-0309"/>
    <s v="2024-001121"/>
    <x v="147"/>
    <d v="2024-06-24T00:00:00"/>
    <d v="2025-08-01T00:00:00"/>
    <s v="Contract"/>
    <s v="INTERNET VISION DEVELOPMENT CORP."/>
    <s v="SAN JUAN"/>
    <s v="Servicios de ingenieros y arquitectos"/>
    <x v="32"/>
    <n v="50000"/>
    <n v="0"/>
    <n v="30447.98"/>
    <n v="19552.02"/>
    <n v="0.99"/>
  </r>
  <r>
    <s v="FIE60-2020-2021-0049"/>
    <s v="2021-000367-B"/>
    <x v="33"/>
    <d v="2024-06-25T00:00:00"/>
    <d v="2025-10-19T00:00:00"/>
    <s v="Contract"/>
    <s v="CAMPOLOR, INC."/>
    <s v="PONCE "/>
    <s v="Alimentos"/>
    <x v="9"/>
    <n v="68177.78"/>
    <n v="0"/>
    <n v="62187.24"/>
    <n v="5990.5400000000009"/>
    <n v="5.92"/>
  </r>
  <r>
    <s v="FIE60-2023-2024-0313"/>
    <s v="2024-001125"/>
    <x v="152"/>
    <d v="2024-06-25T00:00:00"/>
    <d v="2029-06-24T00:00:00"/>
    <s v="Contract"/>
    <s v="PRODUCTOS MI GENTE, LLC"/>
    <s v="MAYAGÜEZ"/>
    <s v="Productos misceláneos de alimentos "/>
    <x v="10"/>
    <n v="14400"/>
    <n v="0"/>
    <n v="0"/>
    <n v="14400"/>
    <n v="13.98"/>
  </r>
  <r>
    <s v="FIE60-2023-2024-0312"/>
    <s v="2024-001126"/>
    <x v="152"/>
    <d v="2024-06-25T00:00:00"/>
    <d v="2029-06-24T00:00:00"/>
    <s v="Contract"/>
    <s v="PRODUCTOS MI GENTE, LLC"/>
    <s v="MAYAGÜEZ"/>
    <s v="Productos misceláneos de alimentos "/>
    <x v="8"/>
    <n v="10312.5"/>
    <n v="0"/>
    <n v="0"/>
    <n v="10312.5"/>
    <n v="13.98"/>
  </r>
  <r>
    <s v="FIE60-2023-2024-0047"/>
    <s v="2024-001130"/>
    <x v="99"/>
    <d v="2024-06-27T00:00:00"/>
    <d v="2025-06-26T00:00:00"/>
    <s v="Contract"/>
    <s v="PIZZERÍA LA NAPOLETANA LLC"/>
    <s v="RINCÓN"/>
    <s v="Venta de Comida Preparada al Momento. Venta de Bebidas Alcohólicas"/>
    <x v="24"/>
    <n v="15000"/>
    <n v="0"/>
    <n v="15000"/>
    <n v="0"/>
    <s v="Programa de apoyo a empresarios minoritarios"/>
  </r>
  <r>
    <s v="FIE60-2023-2024-0047"/>
    <s v="2024-001131"/>
    <x v="99"/>
    <d v="2024-06-27T00:00:00"/>
    <d v="2025-06-26T00:00:00"/>
    <s v="Contract"/>
    <s v="JOSE ANGEL RIVERA RAMOS H/N/C SURVIVAL BOX"/>
    <s v="AGUADILLA"/>
    <s v="Módulo multiuso para adaptarse a los vehículos Jeep Wranglers"/>
    <x v="24"/>
    <n v="1000"/>
    <n v="0"/>
    <n v="1000"/>
    <n v="0"/>
    <s v="Programa de apoyo a empresarios minoritarios"/>
  </r>
  <r>
    <s v="FIE60-2023-2024-0331"/>
    <s v="2024-000939-A"/>
    <x v="146"/>
    <d v="2024-06-28T00:00:00"/>
    <d v="2025-04-11T00:00:00"/>
    <s v="Contract"/>
    <s v="SONIA I. ROMAN SOLER HNC CLARO CASA"/>
    <s v="ISABELA"/>
    <s v="Manufactura de productos textiles para el hogar"/>
    <x v="33"/>
    <n v="5021"/>
    <n v="0"/>
    <n v="5021"/>
    <n v="0"/>
    <s v="Programa de apoyo a empresarios minoritarios"/>
  </r>
  <r>
    <s v="FIE60-2023-2024-0046"/>
    <s v="2024-001132"/>
    <x v="99"/>
    <d v="2024-06-28T00:00:00"/>
    <d v="2027-06-27T00:00:00"/>
    <s v="Contract"/>
    <s v="FASTENDER COLISEUM &amp; CINEMA COPR"/>
    <s v="SAN JUAN"/>
    <s v="Sistema de boleteria electronica"/>
    <x v="17"/>
    <n v="40000"/>
    <n v="0"/>
    <n v="40000"/>
    <n v="0"/>
    <s v="Programa de apoyo a empresarios minoritarios"/>
  </r>
  <r>
    <s v="FIE60-2023-2024-0321"/>
    <s v="2024-001133"/>
    <x v="153"/>
    <d v="2024-06-28T00:00:00"/>
    <d v="2029-06-27T00:00:00"/>
    <s v="Contract"/>
    <s v="HACIENDA TRES SOLES CORPORATION"/>
    <s v="VEGA BAJA"/>
    <s v="Productos de molinos de granos"/>
    <x v="10"/>
    <n v="90000"/>
    <n v="0"/>
    <n v="0"/>
    <n v="90000"/>
    <n v="5.68"/>
  </r>
  <r>
    <s v="FIE60-2023-2024-0320"/>
    <s v="2024-001134"/>
    <x v="153"/>
    <d v="2024-06-28T00:00:00"/>
    <d v="2029-06-27T00:00:00"/>
    <s v="Contract"/>
    <s v="HACIENDA TRES SOLES CORPORATION"/>
    <s v="VEGA BAJA"/>
    <s v="Productos de molinos de granos"/>
    <x v="8"/>
    <n v="10496"/>
    <n v="0"/>
    <n v="0"/>
    <n v="10496"/>
    <n v="5.68"/>
  </r>
  <r>
    <s v="FIE60-2023-2024-0046"/>
    <s v="2024-001135"/>
    <x v="99"/>
    <d v="2024-06-28T00:00:00"/>
    <d v="2027-06-27T00:00:00"/>
    <s v="Contract"/>
    <s v="CORDEROS CAMPO VERDE, INC"/>
    <s v="AIBONITO"/>
    <s v="Biotecnologia Animal"/>
    <x v="17"/>
    <n v="200000"/>
    <n v="0"/>
    <n v="100000"/>
    <n v="100000"/>
    <s v="Programa de apoyo a empresarios minoritarios"/>
  </r>
  <r>
    <s v="FIE60-2023-2024-0046"/>
    <s v="2024-001138"/>
    <x v="99"/>
    <d v="2024-06-28T00:00:00"/>
    <d v="2027-06-27T00:00:00"/>
    <s v="Contract"/>
    <s v="PICAFLOR ENTERTAINMENT, LLC"/>
    <s v="GUAYNABO"/>
    <s v="Entretenimiento con tecnologia"/>
    <x v="17"/>
    <n v="40000"/>
    <n v="0"/>
    <n v="25800"/>
    <n v="14200"/>
    <s v="Programa de apoyo a empresarios minoritarios"/>
  </r>
  <r>
    <s v="FIE60-2023-2024-0076"/>
    <s v="2024-001139"/>
    <x v="83"/>
    <d v="2024-06-28T00:00:00"/>
    <d v="2029-06-27T00:00:00"/>
    <s v="Contract"/>
    <s v="RED VENTURES COQUI, LLC"/>
    <s v="SAN JUAN"/>
    <s v="Publicidad"/>
    <x v="10"/>
    <n v="60950"/>
    <n v="0"/>
    <n v="0"/>
    <n v="60950"/>
    <n v="10.44"/>
  </r>
  <r>
    <s v="FIE60-2023-2024-0046"/>
    <s v="2024-001140"/>
    <x v="99"/>
    <d v="2024-06-28T00:00:00"/>
    <d v="2027-06-27T00:00:00"/>
    <s v="Contract"/>
    <s v="ST. BENITO, LLC"/>
    <s v="CAROLINA"/>
    <s v="Investigación y desarrollo de la producción de bioinsumos"/>
    <x v="17"/>
    <n v="100000"/>
    <n v="0"/>
    <n v="50000"/>
    <n v="50000"/>
    <s v="Programa de apoyo a empresarios minoritarios"/>
  </r>
  <r>
    <s v="FIE60-2023-2024-0046"/>
    <s v="2024-001141"/>
    <x v="99"/>
    <d v="2024-06-28T00:00:00"/>
    <d v="2027-06-30T00:00:00"/>
    <s v="Contract"/>
    <s v="CIS INTERNATIONAL, LLC"/>
    <s v="SAN LORENZO"/>
    <s v="patente para dispositivo médico conocido como T-CAN"/>
    <x v="17"/>
    <n v="200000"/>
    <n v="0"/>
    <n v="100000"/>
    <n v="100000"/>
    <s v="Programa de apoyo a empresarios minoritarios"/>
  </r>
  <r>
    <s v="FIE60-2023-2024-0046"/>
    <s v="2024-001142"/>
    <x v="99"/>
    <d v="2024-06-28T00:00:00"/>
    <d v="2027-06-30T00:00:00"/>
    <s v="Contract"/>
    <s v="PARENTAL DRUG INSPECTION &amp; TECH SERVICES, LLC"/>
    <s v="CAGUAS"/>
    <s v="Completar el desarrollo del equipo Inspector Supervised Artificial Intelligence Vision lnspection (ISAIVI)"/>
    <x v="17"/>
    <n v="100000"/>
    <n v="0"/>
    <n v="56384"/>
    <n v="43616"/>
    <s v="Programa de apoyo a empresarios minoritarios"/>
  </r>
  <r>
    <s v="FIE60-2023-2024-0077"/>
    <s v="2024-001143"/>
    <x v="83"/>
    <d v="2024-06-28T00:00:00"/>
    <d v="2029-06-27T00:00:00"/>
    <s v="Contract"/>
    <s v="RED VENTURES COQUI, LLC"/>
    <s v="SAN JUAN"/>
    <s v="Publicidad"/>
    <x v="8"/>
    <n v="1250000"/>
    <n v="0"/>
    <n v="0"/>
    <n v="1250000"/>
    <n v="10.44"/>
  </r>
  <r>
    <s v="FIE60-2023-2024-0047"/>
    <s v="2024-001137"/>
    <x v="99"/>
    <d v="2024-06-29T00:00:00"/>
    <d v="2025-06-28T00:00:00"/>
    <s v="Contract"/>
    <s v="GAMESTORME, LLC"/>
    <s v="AGUADA"/>
    <s v="Plataforma para la distribución, publicación, y desarrollo de videojuegos"/>
    <x v="24"/>
    <n v="1000"/>
    <n v="0"/>
    <n v="1000"/>
    <n v="0"/>
    <s v="Programa de apoyo a empresarios minoritarios"/>
  </r>
  <r>
    <s v="FIE60-2023-2024-0050"/>
    <s v="2024-000889-A"/>
    <x v="99"/>
    <d v="2024-06-30T00:00:00"/>
    <d v="2024-12-31T00:00:00"/>
    <s v="Contract"/>
    <s v="M.B. SPORT, INC."/>
    <s v="RIO GRANDE"/>
    <s v="Producción de Video Explicativo de Juvempleo"/>
    <x v="16"/>
    <n v="35000"/>
    <n v="0"/>
    <n v="35000"/>
    <n v="0"/>
    <s v="Programa de apoyo a empresarios minoritarios"/>
  </r>
  <r>
    <s v="FIE60-2023-2024-0047"/>
    <s v="2024-001144"/>
    <x v="99"/>
    <d v="2024-06-30T00:00:00"/>
    <d v="2025-06-29T00:00:00"/>
    <s v="Contract"/>
    <s v="HSI FARM CORP"/>
    <s v="SAN JUAN"/>
    <s v="Vellos Homestyle Caribbean Food"/>
    <x v="24"/>
    <n v="1000"/>
    <n v="0"/>
    <n v="1000"/>
    <n v="0"/>
    <s v="Programa de apoyo a empresarios minoritarios"/>
  </r>
  <r>
    <s v="FIE60-2023-2024-0047"/>
    <s v="2024-001145"/>
    <x v="99"/>
    <d v="2024-06-30T00:00:00"/>
    <d v="2025-06-29T00:00:00"/>
    <s v="Contract"/>
    <s v="TALE+ LLC"/>
    <s v="GUAYNABO"/>
    <s v="Servicios de terapias del habla de forma virtual"/>
    <x v="24"/>
    <n v="15000"/>
    <n v="0"/>
    <n v="15000"/>
    <n v="0"/>
    <s v="Programa de apoyo a empresarios minoritarios"/>
  </r>
  <r>
    <s v="FIE60-2023-2024-0047"/>
    <s v="2024-001146"/>
    <x v="99"/>
    <d v="2024-06-30T00:00:00"/>
    <d v="2025-06-29T00:00:00"/>
    <s v="Contract"/>
    <s v="Ernesto González Torres h/n/c Socius Digital"/>
    <s v="SAN JUAN"/>
    <s v="Servicios de relaciones de negocio"/>
    <x v="24"/>
    <n v="1000"/>
    <n v="0"/>
    <n v="1000"/>
    <n v="0"/>
    <s v="Programa de apoyo a empresarios minoritarios"/>
  </r>
  <r>
    <s v="FIE60-2023-2024-0047"/>
    <s v="2024-001147"/>
    <x v="99"/>
    <d v="2024-06-30T00:00:00"/>
    <d v="2025-06-29T00:00:00"/>
    <s v="Contract"/>
    <s v="ACADEMIA MENAY LLC"/>
    <s v="CABO ROJO"/>
    <s v="Sector de servicios"/>
    <x v="24"/>
    <n v="1000"/>
    <n v="0"/>
    <n v="1000"/>
    <n v="0"/>
    <s v="Programa de apoyo a empresarios minoritarios"/>
  </r>
  <r>
    <s v="FIE60-2023-2024-0047"/>
    <s v="2024-001148"/>
    <x v="99"/>
    <d v="2024-06-30T00:00:00"/>
    <d v="2025-06-29T00:00:00"/>
    <s v="Contract"/>
    <s v="Wild Culture Mushrooms, LLC"/>
    <s v="AGUADA"/>
    <s v="Variedad de cultivo de hongos medicinales y gourmet"/>
    <x v="24"/>
    <n v="1000"/>
    <n v="0"/>
    <n v="1000"/>
    <n v="0"/>
    <s v="Programa de apoyo a empresarios minoritarios"/>
  </r>
  <r>
    <s v="FIE60-2024-2025-0002"/>
    <s v="2025-000018"/>
    <x v="154"/>
    <d v="2024-07-01T00:00:00"/>
    <d v="2029-06-30T00:00:00"/>
    <s v="Contract"/>
    <s v="AMO PUERTO RICO MANUFACTURING, INC"/>
    <s v="AÑASCO"/>
    <s v="Drogas y preparaciones farmacéuticas"/>
    <x v="8"/>
    <n v="826000"/>
    <n v="0"/>
    <n v="636300"/>
    <n v="189700"/>
    <n v="11.03"/>
  </r>
  <r>
    <s v="FIE60-2024-2025-0001"/>
    <s v="2025-000019"/>
    <x v="154"/>
    <d v="2024-07-02T00:00:00"/>
    <d v="2029-07-01T00:00:00"/>
    <s v="Contract"/>
    <s v="AMO PUERTO RICO MANUFACTURING, INC"/>
    <s v="AÑASCO"/>
    <s v="Drogas y preparaciones farmacéuticas"/>
    <x v="10"/>
    <n v="13424000"/>
    <n v="0"/>
    <n v="0"/>
    <n v="13424000"/>
    <n v="11.03"/>
  </r>
  <r>
    <s v="FIE60-2024-2025-0006"/>
    <s v="2025-000021"/>
    <x v="154"/>
    <d v="2024-07-09T00:00:00"/>
    <d v="2025-06-30T00:00:00"/>
    <s v="Contract"/>
    <s v="ABDIEL I ANGLERO CASANOVA"/>
    <s v="CAROLINA"/>
    <s v="Servicios profesionales especializado de mercadeo, promoción y comunicaciones dirigidos a la industria cinematográfica local y extrajera"/>
    <x v="14"/>
    <n v="40800"/>
    <n v="0"/>
    <n v="22823.33"/>
    <n v="17976.669999999998"/>
    <s v="Auspicio"/>
  </r>
  <r>
    <s v="FIE60-2023-2024-0192"/>
    <s v="2025-000026"/>
    <x v="138"/>
    <d v="2024-07-10T00:00:00"/>
    <d v="2027-07-09T00:00:00"/>
    <s v="Contract"/>
    <s v="KANDOR MANUFACTURING, INC."/>
    <s v="ARECIBO"/>
    <s v="Productos textile"/>
    <x v="10"/>
    <n v="600000"/>
    <n v="0"/>
    <n v="0"/>
    <n v="600000"/>
    <n v="4.04"/>
  </r>
  <r>
    <s v="FIE60-2023-2024-0301"/>
    <s v="2025-000027"/>
    <x v="155"/>
    <d v="2024-07-10T00:00:00"/>
    <d v="2027-07-09T00:00:00"/>
    <s v="Contract"/>
    <s v="KANDOR MANUFACTURING, INC."/>
    <s v="ARECIBO"/>
    <s v="Productos textile"/>
    <x v="8"/>
    <n v="270000"/>
    <n v="0"/>
    <n v="0"/>
    <n v="270000"/>
    <n v="4.04"/>
  </r>
  <r>
    <s v="FIE60-2023-2024-0090"/>
    <s v="2025-000028"/>
    <x v="101"/>
    <d v="2024-07-10T00:00:00"/>
    <d v="2027-07-09T00:00:00"/>
    <s v="Contract"/>
    <s v="KANDOR MANUFACTURING, INC."/>
    <s v="ARECIBO"/>
    <s v="Productos textile"/>
    <x v="10"/>
    <n v="135500"/>
    <n v="0"/>
    <n v="0"/>
    <n v="135500"/>
    <n v="4.04"/>
  </r>
  <r>
    <s v="FIE60-2023-2024-0191"/>
    <s v="2025-000029"/>
    <x v="138"/>
    <d v="2024-07-10T00:00:00"/>
    <d v="2027-07-09T00:00:00"/>
    <s v="Contract"/>
    <s v="KANDOR MANUFACTURING, INC."/>
    <s v="ARECIBO"/>
    <s v="Productos textile"/>
    <x v="8"/>
    <n v="180000"/>
    <n v="0"/>
    <n v="0"/>
    <n v="180000"/>
    <n v="4.04"/>
  </r>
  <r>
    <s v="FIE60-2023-2024-0300"/>
    <s v="2025-000030"/>
    <x v="156"/>
    <d v="2024-07-10T00:00:00"/>
    <d v="2027-07-09T00:00:00"/>
    <s v="Contract"/>
    <s v="KANDOR MANUFACTURING, INC."/>
    <s v="ARECIBO"/>
    <s v="Productos textile"/>
    <x v="10"/>
    <n v="480000"/>
    <n v="0"/>
    <n v="0"/>
    <n v="480000"/>
    <n v="4.04"/>
  </r>
  <r>
    <s v="FIE60-2023-2024-0262"/>
    <s v="2025-000031"/>
    <x v="126"/>
    <d v="2024-07-10T00:00:00"/>
    <d v="2027-07-09T00:00:00"/>
    <s v="Contract"/>
    <s v="KANDOR MANUFACTURING, INC."/>
    <s v="ARECIBO"/>
    <s v="Productos textile"/>
    <x v="9"/>
    <n v="175000"/>
    <n v="0"/>
    <n v="0"/>
    <n v="175000"/>
    <n v="4.04"/>
  </r>
  <r>
    <s v="FIE60-2024-2025-0019"/>
    <s v="2025-000033"/>
    <x v="157"/>
    <d v="2024-07-10T00:00:00"/>
    <d v="2026-01-09T00:00:00"/>
    <s v="Contract"/>
    <s v="HACIENDA TRES SOLES CORPORATION"/>
    <s v="VEGA BAJA"/>
    <s v="Productos de molinos de granos"/>
    <x v="32"/>
    <n v="41750"/>
    <n v="0"/>
    <n v="0"/>
    <n v="41750"/>
    <n v="5.68"/>
  </r>
  <r>
    <s v="FIE60-2023-2024-0334"/>
    <s v="2024-001063-B"/>
    <x v="146"/>
    <d v="2024-07-12T00:00:00"/>
    <d v="2025-05-30T00:00:00"/>
    <s v="Contract"/>
    <s v="LA POLA, LLC"/>
    <s v="CAGUAS"/>
    <s v="Manufactura de ropa y productos relacionados"/>
    <x v="33"/>
    <n v="760"/>
    <n v="0"/>
    <n v="760"/>
    <n v="0"/>
    <s v="Programa de apoyo a empresarios minoritarios"/>
  </r>
  <r>
    <s v="FIE60-2023-2024-0045"/>
    <s v="2024-001112-A"/>
    <x v="99"/>
    <d v="2024-07-12T00:00:00"/>
    <d v="2024-12-31T00:00:00"/>
    <s v="Contract"/>
    <s v="MUNICIPIO DE LAJAS"/>
    <s v="LAJAS"/>
    <s v="1er Junte de Artesanos en La Parguera 2024, y Serie 45 Julio mes del Artesano 2024"/>
    <x v="15"/>
    <n v="15101.43"/>
    <n v="0"/>
    <n v="15101.43"/>
    <n v="0"/>
    <s v="Programa de apoyo a empresarios minoritarios"/>
  </r>
  <r>
    <s v="FIE60-2024-2025-0022"/>
    <s v="2025-000051"/>
    <x v="155"/>
    <d v="2024-07-16T00:00:00"/>
    <d v="2029-07-15T00:00:00"/>
    <s v="Contract"/>
    <s v="AbbVie Biotechnology, LTD"/>
    <s v="MANATI"/>
    <s v="Drogas y preparaciones farmacéuticas"/>
    <x v="8"/>
    <n v="500000"/>
    <n v="0"/>
    <n v="0"/>
    <n v="500000"/>
    <n v="3.42"/>
  </r>
  <r>
    <s v="FIE60-2024-2025-0023"/>
    <s v="2025-000052"/>
    <x v="155"/>
    <d v="2024-07-16T00:00:00"/>
    <d v="2029-07-15T00:00:00"/>
    <s v="Contract"/>
    <s v="AbbVie Biotechnology, LTD"/>
    <s v="MANATI"/>
    <s v="Drogas y preparaciones farmacéuticas"/>
    <x v="10"/>
    <n v="6800000"/>
    <n v="0"/>
    <n v="0"/>
    <n v="6800000"/>
    <n v="3.42"/>
  </r>
  <r>
    <s v="FIE60-2020-2021-0130"/>
    <s v="2021-000366-B"/>
    <x v="38"/>
    <d v="2024-07-21T00:00:00"/>
    <d v="2026-06-29T00:00:00"/>
    <s v="Contract"/>
    <s v="C-Combinator Puerto Rico, LLC (C-Combinator)"/>
    <s v="SAN JUAN"/>
    <s v="Biotecnología agrícola"/>
    <x v="10"/>
    <n v="2000000"/>
    <n v="0"/>
    <n v="0"/>
    <n v="2000000"/>
    <n v="0.83"/>
  </r>
  <r>
    <s v="FIE60-2023-2024-0046"/>
    <s v="2025-000062"/>
    <x v="99"/>
    <d v="2024-07-22T00:00:00"/>
    <d v="2027-06-30T00:00:00"/>
    <s v="Contract"/>
    <s v="POP Technologies LLC"/>
    <s v="SAN JUAN"/>
    <s v="Plataforma puertorriqueña dedicada en la digitalización de la industria de seguros"/>
    <x v="17"/>
    <n v="40000"/>
    <n v="0"/>
    <n v="40000"/>
    <n v="0"/>
    <s v="Programa de apoyo a empresarios minoritarios"/>
  </r>
  <r>
    <s v="FIE60-2024-2025-0007"/>
    <s v="2025-000078"/>
    <x v="154"/>
    <d v="2024-07-29T00:00:00"/>
    <d v="2025-06-30T00:00:00"/>
    <s v="Contract"/>
    <s v="ADRIANA POLANCO REYES"/>
    <s v="SAN JUAN"/>
    <s v="servicios profesionales de_x000a_Consultoría, asesoramiento, asistencia técnica necesaria para el Programa de Cine"/>
    <x v="14"/>
    <n v="53900"/>
    <n v="0"/>
    <n v="30275"/>
    <n v="23625"/>
    <s v="Auspicio"/>
  </r>
  <r>
    <s v="FIE60-2024-2025-0017"/>
    <s v="2025-000089"/>
    <x v="158"/>
    <d v="2024-07-29T00:00:00"/>
    <d v="2029-07-30T00:00:00"/>
    <s v="Contract"/>
    <s v="CIRACET, CORP"/>
    <s v="PONCE "/>
    <s v="Servicios de ingenieros y arquitectos"/>
    <x v="10"/>
    <n v="172500"/>
    <n v="0"/>
    <n v="0"/>
    <n v="172500"/>
    <n v="8.75"/>
  </r>
  <r>
    <s v="FIE60-2024-2025-0005"/>
    <s v="2025-000081"/>
    <x v="154"/>
    <d v="2024-07-31T00:00:00"/>
    <d v="2025-06-30T00:00:00"/>
    <s v="Contract"/>
    <s v="Grupo C, LLC"/>
    <s v="SAN JUAN"/>
    <s v="Servicios Profesionales"/>
    <x v="14"/>
    <n v="93600"/>
    <n v="6467.5"/>
    <n v="62300.549999999996"/>
    <n v="24831.950000000004"/>
    <s v="Auspicio"/>
  </r>
  <r>
    <s v="FIE60-2024-2025-0051"/>
    <s v="2025-000090"/>
    <x v="159"/>
    <d v="2024-08-06T00:00:00"/>
    <d v="2025-06-30T00:00:00"/>
    <s v="Contract"/>
    <s v="BULL BOND MFG CORP."/>
    <s v="CAGUAS"/>
    <s v="Otros productos químicos "/>
    <x v="32"/>
    <n v="50000"/>
    <n v="0"/>
    <n v="0"/>
    <n v="50000"/>
    <n v="30.38"/>
  </r>
  <r>
    <s v="FIE60-2024-2025-0059"/>
    <s v="2025-000091"/>
    <x v="159"/>
    <d v="2024-08-06T00:00:00"/>
    <d v="2027-08-07T00:00:00"/>
    <s v="Contract"/>
    <s v="RONDA PRO, INC."/>
    <s v="GUAYNABO"/>
    <s v="Imprenta y editoriales"/>
    <x v="8"/>
    <n v="6000"/>
    <n v="0"/>
    <n v="0"/>
    <n v="6000"/>
    <n v="2.34"/>
  </r>
  <r>
    <s v="FIE60-2024-2025-0061"/>
    <s v="2025-000092"/>
    <x v="159"/>
    <d v="2024-08-06T00:00:00"/>
    <d v="2027-08-05T00:00:00"/>
    <s v="Contract"/>
    <s v="RONDA PRO, INC."/>
    <s v="GUAYNABO"/>
    <s v="Imprenta y editoriales"/>
    <x v="9"/>
    <n v="50000"/>
    <n v="0"/>
    <n v="0"/>
    <n v="50000"/>
    <n v="2.34"/>
  </r>
  <r>
    <s v="FIE60-2024-2025-0060"/>
    <s v="2025-000093"/>
    <x v="159"/>
    <d v="2024-08-06T00:00:00"/>
    <d v="2029-08-05T00:00:00"/>
    <s v="Contract"/>
    <s v="RONDA PRO, INC."/>
    <s v="GUAYNABO"/>
    <s v="Imprenta y editoriales"/>
    <x v="10"/>
    <n v="150000"/>
    <n v="0"/>
    <n v="10500"/>
    <n v="139500"/>
    <n v="2.34"/>
  </r>
  <r>
    <s v="FIE60-2022-2023-0022"/>
    <s v="2023-001962-A"/>
    <x v="160"/>
    <d v="2024-08-07T00:00:00"/>
    <d v="2027-12-26T00:00:00"/>
    <s v="Contract"/>
    <s v="SONIA I. ROMAN H/N/C CLARO CASA METAL"/>
    <s v="ISABELA"/>
    <s v="Cortinas y productos tapizados"/>
    <x v="10"/>
    <n v="46726"/>
    <n v="0"/>
    <n v="0"/>
    <n v="46726"/>
    <n v="1.1299999999999999"/>
  </r>
  <r>
    <s v="FIE60-2024-2025-0064"/>
    <s v="2025-000114"/>
    <x v="161"/>
    <d v="2024-08-12T00:00:00"/>
    <d v="2029-08-11T00:00:00"/>
    <s v="Contract"/>
    <s v="PRIMAVERA HYDROPONICS, INC"/>
    <s v="CIDRA"/>
    <s v="Agricultura "/>
    <x v="10"/>
    <n v="300000"/>
    <n v="0"/>
    <n v="0"/>
    <n v="300000"/>
    <n v="-0.59"/>
  </r>
  <r>
    <s v="FIE60-2024-2025-0032"/>
    <s v="2025-000139"/>
    <x v="162"/>
    <d v="2024-08-12T00:00:00"/>
    <d v="2025-06-30T00:00:00"/>
    <s v="Cancelled"/>
    <s v="ENACTUS PUERTO RICO, INC."/>
    <s v="SAN JUAN"/>
    <s v="Evento &quot;Programa de Emprendimiento Global, Nexus&quot;"/>
    <x v="16"/>
    <n v="65000"/>
    <n v="2.88"/>
    <n v="64997.120000000003"/>
    <n v="0"/>
    <s v="Auspicio.  Finanzas solicita cancelar balance al 04-10-2025"/>
  </r>
  <r>
    <s v="FIE60-2024-2025-0016"/>
    <s v="2025-000119"/>
    <x v="158"/>
    <d v="2024-08-16T00:00:00"/>
    <d v="2027-06-30T00:00:00"/>
    <s v="Contract"/>
    <s v="CIRACET, CORP"/>
    <s v="PONCE "/>
    <s v="Servicios de ingenieros y arquitectos"/>
    <x v="8"/>
    <n v="65100"/>
    <n v="0"/>
    <n v="0"/>
    <n v="65100"/>
    <n v="8.75"/>
  </r>
  <r>
    <s v="FIE60-2024-2025-0068"/>
    <s v="2025-000120"/>
    <x v="161"/>
    <d v="2024-08-16T00:00:00"/>
    <d v="2029-06-30T00:00:00"/>
    <s v="Contract"/>
    <s v="FRESH HOUSE, LLC"/>
    <s v="SAN JUAN"/>
    <s v="Servicios misceláneos de salud"/>
    <x v="12"/>
    <n v="127750"/>
    <n v="0"/>
    <n v="14347.99"/>
    <n v="113402.01"/>
    <n v="3.13"/>
  </r>
  <r>
    <s v="FIE60-2024-2025-0058"/>
    <s v="2025-000121"/>
    <x v="159"/>
    <d v="2024-08-16T00:00:00"/>
    <d v="2029-06-30T00:00:00"/>
    <s v="Contract"/>
    <s v="FRESH HOUSE, LLC"/>
    <s v="SAN JUAN"/>
    <s v="Servicios misceláneos de salud"/>
    <x v="10"/>
    <n v="58625"/>
    <n v="0"/>
    <n v="8881.35"/>
    <n v="49743.65"/>
    <n v="3.13"/>
  </r>
  <r>
    <s v="FIE60-2024-2025-0029"/>
    <s v="2025-000126"/>
    <x v="163"/>
    <d v="2024-08-16T00:00:00"/>
    <d v="2029-08-15T00:00:00"/>
    <s v="Contract"/>
    <s v="CORTES HERMANOS, LLC"/>
    <s v="SAN JUAN"/>
    <s v="Manufactura miscelánea"/>
    <x v="8"/>
    <n v="7500"/>
    <n v="0"/>
    <n v="0"/>
    <n v="7500"/>
    <n v="3.02"/>
  </r>
  <r>
    <s v="FIE60-2024-2025-0028"/>
    <s v="2025-000127"/>
    <x v="163"/>
    <d v="2024-08-16T00:00:00"/>
    <d v="2029-08-15T00:00:00"/>
    <s v="Contract"/>
    <s v="CORTES HERMANOS, LLC"/>
    <s v="SAN JUAN"/>
    <s v="Manufactura miscelánea"/>
    <x v="10"/>
    <n v="127219.8"/>
    <n v="0"/>
    <n v="127219.8"/>
    <n v="0"/>
    <n v="3.02"/>
  </r>
  <r>
    <s v="FIE60-2023-2024-0316"/>
    <s v="2024-001067-A"/>
    <x v="107"/>
    <d v="2024-08-19T00:00:00"/>
    <d v="2025-05-30T00:00:00"/>
    <s v="Contract"/>
    <s v="GLOBAL MANUFACTURING, LLC"/>
    <s v="YAUCO"/>
    <s v="Manufactura de &quot;Mattresses&quot; y &quot;Box Spings&quot;"/>
    <x v="33"/>
    <n v="80436"/>
    <n v="0"/>
    <n v="80436"/>
    <n v="0"/>
    <s v="Programa de apoyo a empresarios minoritarios"/>
  </r>
  <r>
    <s v="FIE60-2024-2025-0032"/>
    <s v="2025-000125"/>
    <x v="162"/>
    <d v="2024-08-19T00:00:00"/>
    <d v="2025-06-30T00:00:00"/>
    <s v="Contract"/>
    <s v="CARLOS BELTRAN BASEBALL ACADEMY, INC."/>
    <s v="FLORIDA"/>
    <s v="Escuela especializada de excelencia academica y atletica"/>
    <x v="16"/>
    <n v="150000"/>
    <n v="0"/>
    <n v="126100"/>
    <n v="23900"/>
    <s v="Auspicio"/>
  </r>
  <r>
    <s v="FIE60-2023-2024-0330"/>
    <s v="2024-001026-A"/>
    <x v="146"/>
    <d v="2024-08-23T00:00:00"/>
    <d v="2025-05-15T00:00:00"/>
    <s v="Contract"/>
    <s v="PURE PEDIC LLC"/>
    <s v="TRUJILLO ALTO"/>
    <s v="Manufactura y tapizado de camas de posiciones bajo el programa de &quot;Mattresses&quot; y &quot;Box Spings&quot;."/>
    <x v="33"/>
    <n v="12424"/>
    <n v="0"/>
    <n v="12242"/>
    <n v="182"/>
    <s v="Programa de apoyo a empresarios minoritarios"/>
  </r>
  <r>
    <s v="FIE60-2024-2025-0044"/>
    <s v="2025-000186"/>
    <x v="162"/>
    <d v="2024-09-02T00:00:00"/>
    <d v="2024-12-31T00:00:00"/>
    <s v="Contract"/>
    <s v="ELAINE J. ROSARIO ALBINO"/>
    <s v="BAYAMÓN"/>
    <s v="Programa de aprendizaje de arte tradicional"/>
    <x v="15"/>
    <n v="1440"/>
    <n v="0"/>
    <m/>
    <n v="1440"/>
    <m/>
  </r>
  <r>
    <s v="FIE60-2024-2025-0044"/>
    <s v="2025-000162"/>
    <x v="162"/>
    <d v="2024-09-02T00:00:00"/>
    <d v="2024-12-31T00:00:00"/>
    <s v="Contract"/>
    <s v="MALDONADO MEJIAS, SARAH"/>
    <s v="ADJUNTAS"/>
    <s v="Programa de aprendizaje de arte tradicional"/>
    <x v="15"/>
    <n v="1440"/>
    <n v="0"/>
    <n v="1440"/>
    <n v="0"/>
    <s v="PROGRAMA DE APRENDIZAJE DE ARTES TRADICIONAL"/>
  </r>
  <r>
    <s v="FIE60-2024-2025-0044"/>
    <s v="2025-000161"/>
    <x v="162"/>
    <d v="2024-09-02T00:00:00"/>
    <d v="2024-12-31T00:00:00"/>
    <s v="Contract"/>
    <s v="RIOS GARCIA, MARITSSA "/>
    <s v="GURABO"/>
    <s v="Programa de aprendizaje de arte tradicional"/>
    <x v="15"/>
    <n v="1440"/>
    <n v="0"/>
    <n v="1440"/>
    <n v="0"/>
    <m/>
  </r>
  <r>
    <s v="FIE60-2024-2025-0069"/>
    <s v="2025-000180"/>
    <x v="161"/>
    <d v="2024-09-03T00:00:00"/>
    <d v="2025-11-18T00:00:00"/>
    <s v="Contract"/>
    <s v="BEARING BUDDY ,INC."/>
    <s v="PATILLAS"/>
    <s v="Manufactura de protectores de sistema de rodaje para bujes de carretones"/>
    <x v="32"/>
    <n v="20412"/>
    <n v="0"/>
    <m/>
    <n v="20412"/>
    <n v="2.5099999999999998"/>
  </r>
  <r>
    <s v="FIE60-2024-2025-0086"/>
    <s v="2025-000173"/>
    <x v="164"/>
    <d v="2024-09-03T00:00:00"/>
    <d v="2027-09-02T00:00:00"/>
    <s v="Contract"/>
    <s v="VALERO, INC."/>
    <s v="TOA BAJA"/>
    <s v="Manufactura y Remanufactura carros de compra"/>
    <x v="8"/>
    <n v="11250"/>
    <n v="0"/>
    <m/>
    <n v="11250"/>
    <n v="7.3"/>
  </r>
  <r>
    <s v="FIE60-2024-2025-0087"/>
    <s v="2025-000175"/>
    <x v="164"/>
    <d v="2024-09-03T00:00:00"/>
    <d v="2025-05-01T00:00:00"/>
    <s v="Contract"/>
    <s v="VALERO, INC."/>
    <s v="TOA BAJA"/>
    <s v="Manufactura y Remanufactura carros de compra"/>
    <x v="32"/>
    <n v="50000"/>
    <n v="0"/>
    <m/>
    <n v="50000"/>
    <n v="7.3"/>
  </r>
  <r>
    <s v="FIE60-2024-2025-0085"/>
    <s v="2025-000177"/>
    <x v="164"/>
    <d v="2024-09-03T00:00:00"/>
    <d v="2024-10-31T00:00:00"/>
    <s v="Cancelled"/>
    <s v="VALERO, INC."/>
    <s v="TOA BAJA"/>
    <s v="Manufactura y Remanufactura carros de compra"/>
    <x v="34"/>
    <n v="50000"/>
    <n v="50000"/>
    <m/>
    <n v="0"/>
    <s v="730%.  Finanzas canceló 6-9-2025.  Contrato venció."/>
  </r>
  <r>
    <s v="FIE60-2024-2025-0074"/>
    <s v="2025-000174"/>
    <x v="165"/>
    <d v="2024-09-03T00:00:00"/>
    <d v="2025-09-02T00:00:00"/>
    <s v="Contract"/>
    <s v="DANITO ALUMINUM, INC."/>
    <s v="COAMO"/>
    <s v="Manufactura de Puertas y Ventas"/>
    <x v="10"/>
    <n v="10000"/>
    <n v="0"/>
    <m/>
    <n v="10000"/>
    <n v="5.31"/>
  </r>
  <r>
    <s v="FIE60-2024-2025-0075"/>
    <s v="2025-000176"/>
    <x v="165"/>
    <d v="2024-09-03T00:00:00"/>
    <d v="2024-10-31T00:00:00"/>
    <s v="Contract"/>
    <s v="DANITO ALUMINUM, INC."/>
    <s v="COAMO"/>
    <s v="Manufactura de Puertas y Ventas"/>
    <x v="32"/>
    <n v="46500"/>
    <n v="0"/>
    <m/>
    <n v="46500"/>
    <n v="5.31"/>
  </r>
  <r>
    <s v="FIE60-2024-2025-0089"/>
    <s v="2025-000181"/>
    <x v="164"/>
    <d v="2024-09-04T00:00:00"/>
    <d v="2027-09-03T00:00:00"/>
    <s v="Contract"/>
    <s v="ELITEBCO LLC"/>
    <s v="SAN JUAN"/>
    <s v="Consultoría en Tecnología y Desarrollo de Programas"/>
    <x v="8"/>
    <n v="72500"/>
    <n v="0"/>
    <m/>
    <n v="72500"/>
    <n v="23.51"/>
  </r>
  <r>
    <s v="FIE60-2024-2025-0090"/>
    <s v="2025-000182"/>
    <x v="164"/>
    <d v="2024-09-04T00:00:00"/>
    <d v="2027-09-03T00:00:00"/>
    <s v="Contract"/>
    <s v="ELITEBCO LLC"/>
    <s v="SAN JUAN"/>
    <s v="Consultoría en Tecnología y Desarrollo de Programas"/>
    <x v="10"/>
    <n v="6000"/>
    <n v="0"/>
    <m/>
    <n v="6000"/>
    <n v="23.51"/>
  </r>
  <r>
    <s v="FIE60-2024-2025-0091"/>
    <s v="2025-000183"/>
    <x v="164"/>
    <d v="2024-09-04T00:00:00"/>
    <d v="2027-09-03T00:00:00"/>
    <s v="Contract"/>
    <s v="ELITEBCO LLC"/>
    <s v="SAN JUAN"/>
    <s v="Consultoría en Tecnología y Desarrollo de Programas"/>
    <x v="32"/>
    <n v="50000"/>
    <n v="0"/>
    <m/>
    <n v="50000"/>
    <n v="23.51"/>
  </r>
  <r>
    <s v="FIE60-2024-2025-0044"/>
    <s v="2025-000188"/>
    <x v="162"/>
    <d v="2024-09-04T00:00:00"/>
    <d v="2024-12-31T00:00:00"/>
    <s v="Contract"/>
    <s v="MILAGROS BORRERO FRATICELLI"/>
    <s v="PEÑUELAS"/>
    <s v="Programa de aprendizaje de arte tradicional"/>
    <x v="15"/>
    <n v="1440"/>
    <n v="0"/>
    <n v="1440"/>
    <n v="0"/>
    <m/>
  </r>
  <r>
    <s v="FIE60-2024-2025-0044"/>
    <s v="2025-000185"/>
    <x v="162"/>
    <d v="2024-09-04T00:00:00"/>
    <d v="2024-12-31T00:00:00"/>
    <s v="Contract"/>
    <s v="RIVERA ORTIZ, ANA W. "/>
    <s v="VILLALBA"/>
    <s v="Programa de aprendizaje de arte tradicional"/>
    <x v="15"/>
    <n v="1440"/>
    <n v="0"/>
    <n v="1440"/>
    <n v="0"/>
    <s v="Programa de apoyo a empresarios minoritarios"/>
  </r>
  <r>
    <s v="FIE60-2024-2025-0083"/>
    <s v="2025-000190"/>
    <x v="164"/>
    <d v="2024-09-05T00:00:00"/>
    <d v="2029-06-30T00:00:00"/>
    <s v="Contract"/>
    <s v="VITONY BAKERY, INC"/>
    <s v="CATAÑO"/>
    <s v="Elaboración de productos de repostería"/>
    <x v="10"/>
    <n v="75000"/>
    <n v="0"/>
    <n v="75000"/>
    <n v="0"/>
    <n v="4.7300000000000004"/>
  </r>
  <r>
    <s v="FIE60-2024-2025-0044"/>
    <s v="2025-000208"/>
    <x v="162"/>
    <d v="2024-09-09T00:00:00"/>
    <d v="2024-12-31T00:00:00"/>
    <s v="Contract"/>
    <s v="MOISES TOLLINCHI PADILLA"/>
    <s v="SAN JUAN"/>
    <s v="Programa de aprendizaje de arte tradicional"/>
    <x v="15"/>
    <n v="1440"/>
    <n v="0"/>
    <n v="1440"/>
    <n v="0"/>
    <m/>
  </r>
  <r>
    <s v="FIE60-2024-2025-0057"/>
    <s v="2025-000178"/>
    <x v="159"/>
    <d v="2024-09-09T00:00:00"/>
    <d v="2029-06-30T00:00:00"/>
    <s v="Contract"/>
    <s v="FRESH HOUSE, LLC"/>
    <s v="CATAÑO"/>
    <s v="Elaboración de alimentos nutritivos"/>
    <x v="8"/>
    <n v="50000"/>
    <n v="0"/>
    <m/>
    <n v="50000"/>
    <n v="3.13"/>
  </r>
  <r>
    <s v="FIE60-2024-2025-0032"/>
    <s v="2025-000197"/>
    <x v="162"/>
    <d v="2024-09-10T00:00:00"/>
    <d v="2025-06-30T00:00:00"/>
    <s v="Contract"/>
    <s v="OUTSOURCING GROUP SERVICES, INC."/>
    <s v="GUAYNABO"/>
    <s v="Programa de Desarrollo de la Juventud"/>
    <x v="35"/>
    <n v="83421"/>
    <n v="0"/>
    <n v="83421"/>
    <n v="0"/>
    <m/>
  </r>
  <r>
    <s v="FIE60-2024-2025-0094"/>
    <s v="2025-000198"/>
    <x v="166"/>
    <d v="2024-09-10T00:00:00"/>
    <d v="2027-09-09T00:00:00"/>
    <s v="Contract"/>
    <s v="M&amp;M MANUFACTURING, LLC"/>
    <s v="LAJAS"/>
    <s v="Uniformes Militares"/>
    <x v="8"/>
    <n v="262500"/>
    <n v="0"/>
    <m/>
    <n v="262500"/>
    <n v="6.78"/>
  </r>
  <r>
    <s v="FIE60-2024-2025-0097"/>
    <s v="2025-000199"/>
    <x v="166"/>
    <d v="2024-09-10T00:00:00"/>
    <d v="2027-06-30T00:00:00"/>
    <s v="Contract"/>
    <s v="M&amp;M MANUFACTURING, LLC"/>
    <s v="LAJAS"/>
    <s v="Uniformes Militares"/>
    <x v="10"/>
    <n v="28126"/>
    <n v="0"/>
    <m/>
    <n v="28126"/>
    <n v="4.38"/>
  </r>
  <r>
    <s v="FIE60-2024-2025-0098"/>
    <s v="2025-000200"/>
    <x v="166"/>
    <d v="2024-09-10T00:00:00"/>
    <d v="2026-09-09T00:00:00"/>
    <s v="Contract"/>
    <s v="M&amp;M MANUFACTURING, LLC"/>
    <s v="LAJAS"/>
    <s v="Uniformes Militares"/>
    <x v="9"/>
    <n v="100000"/>
    <n v="0"/>
    <m/>
    <n v="100000"/>
    <n v="4.38"/>
  </r>
  <r>
    <s v="FIE60-2024-2025-0096"/>
    <s v="2025-000201"/>
    <x v="166"/>
    <d v="2024-09-10T00:00:00"/>
    <d v="2027-09-09T00:00:00"/>
    <s v="Contract"/>
    <s v="M&amp;M MANUFACTURING, LLC"/>
    <s v="LAJAS"/>
    <s v="Uniformes Militares"/>
    <x v="8"/>
    <n v="262500"/>
    <n v="0"/>
    <m/>
    <n v="262500"/>
    <n v="4.38"/>
  </r>
  <r>
    <s v="FIE60-2024-2025-0055"/>
    <s v="2025-000202"/>
    <x v="159"/>
    <d v="2024-09-10T00:00:00"/>
    <d v="2026-09-09T00:00:00"/>
    <s v="Contract"/>
    <s v="M&amp;M MANUFACTURING, LLC"/>
    <s v="LAJAS"/>
    <s v="Uniformes Militares"/>
    <x v="9"/>
    <n v="100000"/>
    <n v="0"/>
    <m/>
    <n v="100000"/>
    <n v="7.37"/>
  </r>
  <r>
    <s v="FIE60-2024-2025-0056"/>
    <s v="2025-000203"/>
    <x v="159"/>
    <d v="2024-09-10T00:00:00"/>
    <d v="2027-09-09T00:00:00"/>
    <s v="Contract"/>
    <s v="M&amp;M MANUFACTURING, LLC"/>
    <s v="LAJAS"/>
    <s v="Uniformes Militares"/>
    <x v="8"/>
    <n v="150000"/>
    <n v="0"/>
    <m/>
    <n v="150000"/>
    <n v="7.37"/>
  </r>
  <r>
    <s v="FIE60-2024-2025-0093"/>
    <s v="2025-000204"/>
    <x v="166"/>
    <d v="2024-09-10T00:00:00"/>
    <d v="2027-09-09T00:00:00"/>
    <s v="Contract"/>
    <s v="M&amp;M MANUFACTURING, LLC"/>
    <s v="LAJAS"/>
    <s v="Uniformes Militares"/>
    <x v="8"/>
    <n v="112500"/>
    <n v="0"/>
    <m/>
    <n v="112500"/>
    <n v="7.68"/>
  </r>
  <r>
    <s v="FIE60-2024-2025-0092"/>
    <s v="2025-000205"/>
    <x v="166"/>
    <d v="2024-09-10T00:00:00"/>
    <d v="2027-09-09T00:00:00"/>
    <s v="Contract"/>
    <s v="M&amp;M MANUFACTURING, LLC"/>
    <s v="LAJAS"/>
    <s v="Uniformes Militares"/>
    <x v="8"/>
    <n v="187500"/>
    <n v="0"/>
    <m/>
    <n v="187500"/>
    <n v="7.98"/>
  </r>
  <r>
    <s v="FIE60-2024-2025-0015"/>
    <s v="2025-000206"/>
    <x v="167"/>
    <d v="2024-09-10T00:00:00"/>
    <d v="2027-06-30T00:00:00"/>
    <s v="Contract"/>
    <s v="M&amp;M MANUFACTURING, LLC"/>
    <s v="LAJAS"/>
    <s v="Uniformes Militares"/>
    <x v="8"/>
    <n v="105000"/>
    <n v="0"/>
    <m/>
    <n v="105000"/>
    <n v="7.37"/>
  </r>
  <r>
    <s v="FIE60-2024-2025-0054"/>
    <s v="2025-000207"/>
    <x v="168"/>
    <d v="2024-09-10T00:00:00"/>
    <d v="2027-09-09T00:00:00"/>
    <s v="Contract"/>
    <s v="M&amp;M MANUFACTURING, LLC"/>
    <s v="LAJAS"/>
    <s v="Uniformes Militares"/>
    <x v="10"/>
    <n v="208000"/>
    <n v="0"/>
    <m/>
    <n v="208000"/>
    <n v="7.37"/>
  </r>
  <r>
    <s v="FIE60-2024-2025-0032"/>
    <s v="2025-000209"/>
    <x v="162"/>
    <d v="2024-09-11T00:00:00"/>
    <d v="2025-06-30T00:00:00"/>
    <s v="Contract"/>
    <s v="TECHNO INVENTORS, INC."/>
    <s v="GUAYNABO"/>
    <s v="Proyecto: &quot;World Robot Olympiad America's Open Championship 2024&quot;"/>
    <x v="35"/>
    <n v="100000"/>
    <n v="0"/>
    <n v="100000"/>
    <n v="0"/>
    <s v="Actividades dirigidas al desarrollo juventud"/>
  </r>
  <r>
    <s v="FIE60-2024-2025-0038"/>
    <s v="2025-000211"/>
    <x v="162"/>
    <d v="2024-09-12T00:00:00"/>
    <d v="2025-06-30T00:00:00"/>
    <s v="Contract"/>
    <s v="ENTERPRIZE EVENTS, INC."/>
    <s v="SAN JUAN"/>
    <s v="Programa de Aliados"/>
    <x v="35"/>
    <n v="440000"/>
    <n v="0"/>
    <n v="342733.03"/>
    <n v="97266.969999999972"/>
    <s v="Programa de Aliados"/>
  </r>
  <r>
    <s v="FIE60-2024-2025-0044"/>
    <s v="2025-000213"/>
    <x v="162"/>
    <d v="2024-09-13T00:00:00"/>
    <d v="2024-12-31T00:00:00"/>
    <s v="Contract"/>
    <s v="JASMINE RIVERA TORRES"/>
    <s v="TOA ALTA"/>
    <s v="Programa de aprendizaje de arte tradicional"/>
    <x v="15"/>
    <n v="1440"/>
    <n v="0"/>
    <n v="1440"/>
    <n v="0"/>
    <s v="Programa de apoyo a empresarios minoritarios"/>
  </r>
  <r>
    <s v="FIE60-2024-2025-0048"/>
    <s v="2025-000212"/>
    <x v="162"/>
    <d v="2024-09-13T00:00:00"/>
    <d v="2024-12-31T00:00:00"/>
    <s v="Contract"/>
    <s v="Festival de Cine Internacional de Puerto Rico"/>
    <s v="SAN JUAN"/>
    <s v="Industrias Creativas"/>
    <x v="14"/>
    <n v="15000"/>
    <n v="0"/>
    <m/>
    <n v="15000"/>
    <m/>
  </r>
  <r>
    <s v="FIE60-2024-2025-0044"/>
    <s v="2025-000215"/>
    <x v="162"/>
    <d v="2024-09-17T00:00:00"/>
    <d v="2024-12-31T00:00:00"/>
    <s v="Contract"/>
    <s v="IVETTE SANTIAGO NEGRON"/>
    <s v="LAS PIEDRAS"/>
    <s v="Programa de aprendizaje de arte tradicional"/>
    <x v="15"/>
    <n v="1440"/>
    <n v="0"/>
    <n v="1440"/>
    <n v="0"/>
    <m/>
  </r>
  <r>
    <s v="FIE60-2024-2025-0044"/>
    <s v="2025-000218"/>
    <x v="162"/>
    <d v="2024-09-18T00:00:00"/>
    <d v="2024-12-31T00:00:00"/>
    <s v="Contract"/>
    <s v="WILLIAM TRINIDAD CASTILLO"/>
    <s v="SAN JUAN"/>
    <s v="Programa de aprendizaje de arte tradicional"/>
    <x v="15"/>
    <n v="1440"/>
    <n v="0"/>
    <n v="1440"/>
    <n v="0"/>
    <m/>
  </r>
  <r>
    <s v="FIE60-2024-2025-0044"/>
    <s v="2025-000219"/>
    <x v="162"/>
    <d v="2024-09-19T00:00:00"/>
    <d v="2024-12-31T00:00:00"/>
    <s v="Contract"/>
    <s v="MARIA A. MENDEZ SISCO"/>
    <s v="JUNCOS"/>
    <s v="Programa de aprendizaje de arte tradicional"/>
    <x v="15"/>
    <n v="1440"/>
    <n v="0"/>
    <n v="1440"/>
    <n v="0"/>
    <m/>
  </r>
  <r>
    <s v="FIE60-2024-2025-0044"/>
    <s v="2025-000224"/>
    <x v="162"/>
    <d v="2024-09-23T00:00:00"/>
    <d v="2024-12-31T00:00:00"/>
    <s v="Contract"/>
    <s v="NANCY E. MELENDEZ SOTO"/>
    <s v="LAS PIEDRAS"/>
    <s v="Programa de aprendizaje de arte tradicional"/>
    <x v="15"/>
    <n v="1440"/>
    <n v="0"/>
    <n v="1440"/>
    <n v="0"/>
    <m/>
  </r>
  <r>
    <s v="FIE60-2024-2025-0113"/>
    <s v="2025-000222"/>
    <x v="169"/>
    <d v="2024-09-23T00:00:00"/>
    <d v="2029-09-22T00:00:00"/>
    <s v="Contract"/>
    <s v="THERMO KING PUERTO RICO MANUFACTURING, INC"/>
    <s v="ARECIBO"/>
    <s v="Mejoras Infraestructura"/>
    <x v="9"/>
    <n v="3000000"/>
    <n v="0"/>
    <m/>
    <n v="3000000"/>
    <s v="143% - Proyecto ARES"/>
  </r>
  <r>
    <s v="FIE60-2024-2025-0111"/>
    <s v="2025-000223"/>
    <x v="169"/>
    <d v="2024-09-23T00:00:00"/>
    <d v="2029-09-22T00:00:00"/>
    <s v="Contract"/>
    <s v="THERMO KING PUERTO RICO MANUFACTURING, INC"/>
    <s v="ARECIBO"/>
    <s v="Maquinaria y Equipo"/>
    <x v="10"/>
    <n v="3000000"/>
    <n v="0"/>
    <m/>
    <n v="3000000"/>
    <n v="1.43"/>
  </r>
  <r>
    <s v="FIE60-2024-2025-0112"/>
    <s v="2025-000221"/>
    <x v="169"/>
    <d v="2024-09-23T00:00:00"/>
    <d v="2029-09-22T00:00:00"/>
    <s v="Contract"/>
    <s v="THERMO KING PUERTO RICO MANUFACTURING, INC"/>
    <s v="ARECIBO"/>
    <s v="Mejoras Infraestructura"/>
    <x v="9"/>
    <n v="10500000"/>
    <n v="0"/>
    <m/>
    <n v="10500000"/>
    <n v="1.43"/>
  </r>
  <r>
    <s v="FIE60-2024-2025-0048"/>
    <s v="2025-000225"/>
    <x v="162"/>
    <d v="2024-09-24T00:00:00"/>
    <d v="2024-12-31T00:00:00"/>
    <s v="Contract"/>
    <s v="Puerto Rico Film Festival"/>
    <s v="MAYAGÜEZ"/>
    <s v="Desarrollo Industria Cinematrográficas"/>
    <x v="14"/>
    <n v="5000"/>
    <n v="0"/>
    <n v="5000"/>
    <n v="0"/>
    <m/>
  </r>
  <r>
    <s v="FIE60-2023-2024-0329"/>
    <s v="2024-001009-B"/>
    <x v="146"/>
    <d v="2024-06-17T00:00:00"/>
    <d v="2025-05-07T00:00:00"/>
    <s v="Contract"/>
    <s v="L.S. QUILTING, INC."/>
    <s v="TOA ALTA"/>
    <s v="Manufactura de colchas"/>
    <x v="33"/>
    <n v="13026"/>
    <n v="0"/>
    <n v="13026"/>
    <n v="0"/>
    <s v="Programa de apoyo a empresarios minoritarios"/>
  </r>
  <r>
    <s v="FIE60-2023-2024-0044"/>
    <s v="2024-000573"/>
    <x v="170"/>
    <d v="2023-12-14T00:00:00"/>
    <d v="2024-06-30T00:00:00"/>
    <s v="Contract"/>
    <s v="MUNICIPIO DE OROCOVIS"/>
    <s v="OROCOVIS"/>
    <s v="Incentivo para el Desarrollo de las Artesanías en PR"/>
    <x v="15"/>
    <n v="4260"/>
    <n v="0"/>
    <n v="4260"/>
    <n v="0"/>
    <s v="49 Encuentro Tallistas de Santos"/>
  </r>
  <r>
    <s v="FIE60-2023-2024-0050"/>
    <s v="2024-000574-A"/>
    <x v="171"/>
    <d v="2024-06-24T00:00:00"/>
    <d v="2024-06-30T00:00:00"/>
    <s v="Contract"/>
    <s v="DIGITAL PRESENCIAL, LLC"/>
    <s v="GUAYNABO"/>
    <s v="Eventos: &quot;Digitize Youth&quot; y &quot;Clausura del Mes de la Juventud 2024&quot;"/>
    <x v="29"/>
    <n v="106000"/>
    <n v="0"/>
    <n v="106000"/>
    <n v="0"/>
    <s v="Pago servicios profesionales clausura del mes de la juventud 2024"/>
  </r>
  <r>
    <s v="FIE60-2024-2025-0036"/>
    <s v="2025-000189"/>
    <x v="162"/>
    <d v="2024-08-23T00:00:00"/>
    <d v="2024-12-31T00:00:00"/>
    <s v="Contract"/>
    <s v="FIDEICOMISO PARA CIENCIAS, TECNOLOGÍA"/>
    <s v="SAN JUAN"/>
    <s v="Boricua Emprende"/>
    <x v="35"/>
    <n v="15000"/>
    <n v="0"/>
    <n v="15000"/>
    <n v="0"/>
    <s v="Boricua Emprende Fest 2022-Gold Sponsor"/>
  </r>
  <r>
    <s v="FIE60-2024-2025-0076"/>
    <s v="2025-000150"/>
    <x v="165"/>
    <d v="2024-08-28T00:00:00"/>
    <d v="2027-06-30T00:00:00"/>
    <s v="Contract"/>
    <s v="VERI BAKERS FACTORY LLC"/>
    <s v="TOA ALTA"/>
    <s v="Empleo Básico y localización"/>
    <x v="8"/>
    <n v="6000"/>
    <n v="0"/>
    <m/>
    <n v="6000"/>
    <n v="2.87"/>
  </r>
  <r>
    <s v="FIE60-2024-2025-0077"/>
    <s v="2025-000151"/>
    <x v="165"/>
    <d v="2024-08-28T00:00:00"/>
    <d v="2029-06-30T00:00:00"/>
    <s v="Contract"/>
    <s v="VERI BAKERS FACTORY LLC"/>
    <s v="TOA ALTA"/>
    <s v="Maquinaria y Equipo"/>
    <x v="10"/>
    <n v="53457"/>
    <n v="0"/>
    <n v="21853.87"/>
    <n v="31603.13"/>
    <n v="2.87"/>
  </r>
  <r>
    <s v="FIE60-2024-2025-0044"/>
    <s v="2025-000149-A"/>
    <x v="165"/>
    <d v="2024-09-06T00:00:00"/>
    <d v="2024-12-31T00:00:00"/>
    <s v="Contract"/>
    <s v="RUNWAY CENTER ARTS INSTITUTE INC"/>
    <s v="VEGA BAJA"/>
    <s v="Programa de aprendizaje de arte tradicional"/>
    <x v="15"/>
    <n v="1440"/>
    <n v="0"/>
    <n v="1440"/>
    <n v="0"/>
    <s v="Artesanía"/>
  </r>
  <r>
    <s v="FIE60-2024-2025-0044"/>
    <s v="2025-000157"/>
    <x v="162"/>
    <d v="2024-08-30T00:00:00"/>
    <d v="2024-12-31T00:00:00"/>
    <s v="Contract"/>
    <s v="ROBERTO GONZALEZ O'NEILL"/>
    <s v="DORADO"/>
    <s v="Programa de aprendizaje de arte tradicional"/>
    <x v="15"/>
    <n v="1440"/>
    <n v="0"/>
    <n v="1440"/>
    <n v="0"/>
    <s v="Artesanía"/>
  </r>
  <r>
    <s v="FIE60-2024-2025-0044"/>
    <s v="2025-000164"/>
    <x v="162"/>
    <d v="2024-08-30T00:00:00"/>
    <d v="2024-12-31T00:00:00"/>
    <s v="Contract"/>
    <s v="MIGUEL A. DÍAZ ESCALERA"/>
    <s v="CAROLINA"/>
    <s v="Programa de aprendizaje de arte tradicional"/>
    <x v="15"/>
    <n v="1440"/>
    <n v="0"/>
    <n v="1440"/>
    <n v="0"/>
    <s v="Artesanía"/>
  </r>
  <r>
    <s v="FIE60-2024-2025-0099"/>
    <s v="2025-000228"/>
    <x v="166"/>
    <d v="2024-09-24T00:00:00"/>
    <d v="2025-03-31T00:00:00"/>
    <s v="Contract"/>
    <s v="XTILLION LLC"/>
    <s v="SAN JUAN"/>
    <s v="Incentivo de Mercadeo Ley 60-2019"/>
    <x v="32"/>
    <n v="34000"/>
    <m/>
    <m/>
    <n v="34000"/>
    <n v="6.93"/>
  </r>
  <r>
    <s v="FIE60-2024-2025-0021"/>
    <s v="2025-000229"/>
    <x v="155"/>
    <d v="2024-09-24T00:00:00"/>
    <d v="2029-09-23T00:00:00"/>
    <s v="Contract"/>
    <s v="XTILLION LLC"/>
    <s v="SAN JUAN"/>
    <s v="Maquinaria y Equipo"/>
    <x v="10"/>
    <n v="184500"/>
    <m/>
    <m/>
    <n v="184500"/>
    <n v="6.93"/>
  </r>
  <r>
    <s v="FIE60-2024-2025-0032"/>
    <s v="2025-000234"/>
    <x v="162"/>
    <d v="2024-10-01T00:00:00"/>
    <d v="2024-11-15T00:00:00"/>
    <s v="Contract"/>
    <s v="K &amp; L MARKETING SERVICES LLC"/>
    <s v="SAN JUAN"/>
    <s v="Auspicio Evento PDJ Expo Graduandos"/>
    <x v="35"/>
    <n v="10000"/>
    <m/>
    <n v="10000"/>
    <n v="0"/>
    <s v="Otros"/>
  </r>
  <r>
    <s v="FIE60-2024-2025-0048"/>
    <s v="2025-000240"/>
    <x v="162"/>
    <d v="2024-10-04T00:00:00"/>
    <d v="2024-12-31T00:00:00"/>
    <s v="Contract"/>
    <s v="ALLIANCE FRANCAISE DE PUERTO RICO, INC."/>
    <s v="SAN JUAN"/>
    <s v="Otros"/>
    <x v="35"/>
    <n v="15000"/>
    <m/>
    <n v="7500"/>
    <n v="7500"/>
    <s v="Otros"/>
  </r>
  <r>
    <s v="FIE60-2024-2025-0048"/>
    <s v="2025-000239"/>
    <x v="162"/>
    <d v="2024-10-04T00:00:00"/>
    <d v="2024-12-31T00:00:00"/>
    <s v="Contract"/>
    <s v="POLYMORPH FILMS, LLC"/>
    <s v="CAGUAS"/>
    <s v="Otros"/>
    <x v="35"/>
    <n v="7000"/>
    <m/>
    <m/>
    <n v="7000"/>
    <s v="Otros"/>
  </r>
  <r>
    <s v="FIE60-2024-2025-0110"/>
    <s v="2025-000243"/>
    <x v="169"/>
    <d v="2024-10-07T00:00:00"/>
    <d v="2028-10-06T00:00:00"/>
    <s v="Contract"/>
    <s v="THERMO KING PUERTO RICO MANUFACTURING, INC."/>
    <s v="ARECIBO"/>
    <s v="Empleo Básico y localización"/>
    <x v="8"/>
    <n v="356250"/>
    <n v="0"/>
    <n v="71250"/>
    <n v="285000"/>
    <n v="1.43"/>
  </r>
  <r>
    <s v="FIE60-2024-2025-0048"/>
    <s v="2025-000258"/>
    <x v="162"/>
    <d v="2024-10-16T00:00:00"/>
    <d v="2024-12-31T00:00:00"/>
    <s v="Contract"/>
    <s v="LUSCA, LLC"/>
    <s v="SAN JUAN"/>
    <s v="Otros / Auspicio al Lusca Campus octubre 2024"/>
    <x v="35"/>
    <n v="5000"/>
    <m/>
    <n v="3340"/>
    <n v="1660"/>
    <s v="Otros"/>
  </r>
  <r>
    <s v="FIE60-2024-2025-0118"/>
    <s v="2025-000264"/>
    <x v="172"/>
    <d v="2024-10-17T00:00:00"/>
    <d v="2025-10-16T00:00:00"/>
    <s v="Contract"/>
    <s v="BLUE-BAR FOODS, LLC"/>
    <s v="COAMO"/>
    <s v="Maquinaria y Equipo"/>
    <x v="36"/>
    <n v="16500"/>
    <m/>
    <m/>
    <n v="16500"/>
    <n v="16"/>
  </r>
  <r>
    <s v="FIE60-2024-2025-0048"/>
    <s v="2025-000260"/>
    <x v="162"/>
    <d v="2024-10-17T00:00:00"/>
    <d v="2024-12-31T00:00:00"/>
    <s v="Contract"/>
    <s v="PUERTO RICO FILM ACADEMY, INC."/>
    <s v="SAN JUAN"/>
    <s v="Otros"/>
    <x v="35"/>
    <n v="5000"/>
    <m/>
    <n v="5000"/>
    <n v="0"/>
    <s v="Otros"/>
  </r>
  <r>
    <s v="FIE60-2024-2025-0125"/>
    <s v="2025-000266"/>
    <x v="173"/>
    <d v="2024-10-22T00:00:00"/>
    <d v="2025-11-01T00:00:00"/>
    <s v="Contract"/>
    <s v="LITTLE THINGS,LLC"/>
    <s v="Bayamón"/>
    <s v="Incentivo de Mercadeo Ley 60-2019"/>
    <x v="32"/>
    <n v="13865"/>
    <m/>
    <m/>
    <n v="13865"/>
    <n v="3.18"/>
  </r>
  <r>
    <s v="FIE60-2024-2025-0119"/>
    <s v="2025-000270"/>
    <x v="173"/>
    <d v="2024-10-22T00:00:00"/>
    <d v="2027-10-21T00:00:00"/>
    <s v="Contract"/>
    <s v="GRANOS LAS DELICIAS, LLC"/>
    <s v="CIALES"/>
    <s v="Empleo Básico y localización"/>
    <x v="8"/>
    <n v="9000"/>
    <m/>
    <m/>
    <n v="9000"/>
    <n v="1.71"/>
  </r>
  <r>
    <s v="FIE60-2024-2025-0043"/>
    <s v="2025-000274"/>
    <x v="162"/>
    <d v="2024-10-23T00:00:00"/>
    <d v="2027-10-22T00:00:00"/>
    <s v="Contract"/>
    <s v="EFRAÍN GONZÁLEZ RUBIO"/>
    <s v="JUNCOS"/>
    <s v="Incentivo para el Desarrollo de las Artesanías en PR"/>
    <x v="15"/>
    <n v="2000"/>
    <m/>
    <n v="2000"/>
    <n v="0"/>
    <s v="Artesanía"/>
  </r>
  <r>
    <s v="FIE60-2024-2025-0131"/>
    <s v="2025-000262"/>
    <x v="174"/>
    <d v="2024-10-23T00:00:00"/>
    <d v="2026-10-22T00:00:00"/>
    <s v="Contract"/>
    <s v="GASCO INDUSTRIAL CORP. "/>
    <s v="GURABO"/>
    <s v="Incentivo de Mercadeo Ley 60-2019"/>
    <x v="32"/>
    <n v="23500"/>
    <m/>
    <m/>
    <n v="23500"/>
    <n v="24.39"/>
  </r>
  <r>
    <s v="FIE60-2024-2025-0043"/>
    <s v="2025-000275"/>
    <x v="162"/>
    <d v="2024-10-25T00:00:00"/>
    <d v="2027-10-24T00:00:00"/>
    <s v="Contract"/>
    <s v="ANA G. SERRANO OCASIO"/>
    <s v="SAN JUAN"/>
    <s v="Incentivo para el Desarrollo de las Artesanías en PR"/>
    <x v="15"/>
    <n v="1000"/>
    <m/>
    <n v="1000"/>
    <n v="0"/>
    <s v="Artesanía"/>
  </r>
  <r>
    <s v="FIE60-2024-2025-0043"/>
    <s v="2025-000276"/>
    <x v="162"/>
    <d v="2024-10-25T00:00:00"/>
    <d v="2027-10-24T00:00:00"/>
    <s v="Contract"/>
    <s v="JUAN MARTÍNEZ NEGRÓN"/>
    <s v="CIDRA"/>
    <s v="Incentivo para el Desarrollo de las Artesanías en PR"/>
    <x v="15"/>
    <n v="1000"/>
    <m/>
    <n v="884.13"/>
    <n v="115.87"/>
    <s v="Artesanía"/>
  </r>
  <r>
    <s v="FIE60-2024-2025-0043"/>
    <s v="2025-000278"/>
    <x v="162"/>
    <d v="2024-10-25T00:00:00"/>
    <d v="2027-10-24T00:00:00"/>
    <s v="Contract"/>
    <s v="NORMARI LÓPEZ LABOY"/>
    <s v="AIBONITO"/>
    <s v="Incentivo para el Desarrollo de las Artesanías en PR"/>
    <x v="15"/>
    <n v="1000"/>
    <m/>
    <n v="1000"/>
    <n v="0"/>
    <s v="Artesanía"/>
  </r>
  <r>
    <s v="FIE60-2024-2025-0044"/>
    <s v="2025-000281"/>
    <x v="162"/>
    <d v="2024-10-28T00:00:00"/>
    <d v="2024-12-31T00:00:00"/>
    <s v="Contract"/>
    <s v="JUAN G. GONZÁLEZ RÍOS"/>
    <s v="AGUAS BUENAS"/>
    <s v="Incentivo para el Desarrollo de las Artesanías en PR"/>
    <x v="15"/>
    <n v="300"/>
    <m/>
    <n v="300"/>
    <n v="0"/>
    <s v="Artesanía"/>
  </r>
  <r>
    <s v="FIE60-2024-2025-0044"/>
    <s v="2025-000282"/>
    <x v="162"/>
    <d v="2024-10-29T00:00:00"/>
    <d v="2024-12-31T00:00:00"/>
    <s v="Contract"/>
    <s v="LUIS CARRASQUILLO LANZO"/>
    <s v="LOÍZA"/>
    <s v="Incentivo para el Desarrollo de las Artesanías en PR"/>
    <x v="15"/>
    <n v="300"/>
    <m/>
    <n v="300"/>
    <n v="0"/>
    <s v="Artesanía"/>
  </r>
  <r>
    <s v="FIE60-2024-2025-0134"/>
    <s v="2025-000283"/>
    <x v="175"/>
    <d v="2024-10-29T00:00:00"/>
    <d v="2029-10-28T00:00:00"/>
    <s v="Contract"/>
    <s v="PLANTACIÓN VELÁZQUEZ IRIZARRY"/>
    <s v="LAS MARIAS"/>
    <s v="Maquinaria y Equipo"/>
    <x v="36"/>
    <n v="163363"/>
    <m/>
    <m/>
    <n v="163363"/>
    <s v="59%   Hidropónico"/>
  </r>
  <r>
    <s v="FIE60-2024-2025-0018"/>
    <s v="2025-000017-A"/>
    <x v="176"/>
    <d v="2024-10-31T00:00:00"/>
    <d v="2029-07-07T00:00:00"/>
    <s v="Contract"/>
    <s v="PAPEASY INNOVATIONS, LLC"/>
    <s v="SAN LORENZO"/>
    <s v="Importancia de Proyecto"/>
    <x v="12"/>
    <n v="1932000"/>
    <m/>
    <n v="169859"/>
    <n v="1762141"/>
    <n v="3.4"/>
  </r>
  <r>
    <s v="FIE60-2024-2025-0044"/>
    <s v="2025-000288"/>
    <x v="162"/>
    <d v="2024-10-31T00:00:00"/>
    <d v="2024-12-31T00:00:00"/>
    <s v="Contract"/>
    <s v="MUNICIPIO DE OROCOVIS"/>
    <s v="OROCOVIS"/>
    <s v="Incentivo para el Desarrollo de las Artesanías en PR"/>
    <x v="15"/>
    <n v="4465"/>
    <n v="0"/>
    <n v="4465"/>
    <n v="0"/>
    <s v="Artesanía"/>
  </r>
  <r>
    <s v="FIE60-2024-2025-0044"/>
    <s v="2025-000287"/>
    <x v="162"/>
    <d v="2024-10-31T00:00:00"/>
    <d v="2024-12-31T00:00:00"/>
    <s v="Contract"/>
    <s v="MUNICIPIO DE VEGA BAJA"/>
    <s v="VEGA BAJA"/>
    <s v="Incentivo para el Desarrollo de las Artesanías en PR"/>
    <x v="15"/>
    <n v="2320"/>
    <m/>
    <m/>
    <n v="2320"/>
    <s v="Artesanía"/>
  </r>
  <r>
    <s v="FIE60-2024-2024-0102"/>
    <s v="2024-001058-C"/>
    <x v="177"/>
    <d v="2024-09-26T00:00:00"/>
    <d v="2025-05-30T00:00:00"/>
    <s v="Contract"/>
    <s v="DIAZ BROTHERS, INC."/>
    <s v="PONCE"/>
    <s v="Manufactura de &quot;Mattresses y Box Springs&quot;"/>
    <x v="33"/>
    <n v="5509"/>
    <n v="0"/>
    <n v="5509"/>
    <n v="0"/>
    <s v="Programa de apoyo a empresarios minoritarios"/>
  </r>
  <r>
    <s v="FIE60-2024-2025-0025"/>
    <s v="2024-001083-B"/>
    <x v="178"/>
    <d v="2024-09-20T00:00:00"/>
    <d v="2025-06-03T00:00:00"/>
    <s v="Contract"/>
    <s v="A. AVANTI KITCHENS, INC."/>
    <s v="CANOVANAS"/>
    <s v="Manufactura de gabinetes de cocina y muebles de patio"/>
    <x v="33"/>
    <n v="18886"/>
    <n v="0"/>
    <n v="18886"/>
    <n v="0"/>
    <s v="Programa de apoyo a empresarios minoritarios"/>
  </r>
  <r>
    <s v="FIE60-2023-2024-0110"/>
    <s v="2024-000957-B"/>
    <x v="179"/>
    <d v="2025-08-30T00:00:00"/>
    <d v="2025-04-16T00:00:00"/>
    <s v="Contract"/>
    <s v="COMERCIAL TORO, INC. DBA TOPES TORO"/>
    <s v="CABO ROJO"/>
    <s v="Manufactura de gabinetes y topes de cocinas"/>
    <x v="33"/>
    <n v="996"/>
    <n v="0"/>
    <n v="996"/>
    <n v="0"/>
    <s v="Programa de apoyo a empresarios minoritarios"/>
  </r>
  <r>
    <s v="FIE60-2024-2025-0100"/>
    <s v="2024-000957-D"/>
    <x v="174"/>
    <d v="2024-10-10T00:00:00"/>
    <d v="2025-04-16T00:00:00"/>
    <s v="Contract"/>
    <s v="COMERCIAL TORO, INC. DBA TOPES TORO"/>
    <s v="CABO ROJO"/>
    <s v="Manufactura de gabinetes y topes de cocinas"/>
    <x v="33"/>
    <n v="750"/>
    <n v="0"/>
    <n v="750"/>
    <n v="0"/>
    <s v="Programa de apoyo a empresarios minoritarios"/>
  </r>
  <r>
    <s v="FIE60-2024-2025-0104"/>
    <s v="2024-000958-C"/>
    <x v="180"/>
    <d v="2024-09-25T00:00:00"/>
    <d v="2025-04-16T00:00:00"/>
    <s v="Contract"/>
    <s v="JOAQUIN AVINO, INC."/>
    <s v="CAROLINA"/>
    <s v="Manufacturan puertas, marcos y ventanas en madera"/>
    <x v="33"/>
    <n v="6933"/>
    <n v="0"/>
    <n v="6933"/>
    <n v="0"/>
    <s v="Programa de apoyo a empresarios minoritarios"/>
  </r>
  <r>
    <s v="FIE60-2024-2025-0116"/>
    <s v="2024-000958-D"/>
    <x v="181"/>
    <d v="2024-10-11T00:00:00"/>
    <d v="2025-04-16T00:00:00"/>
    <s v="Contract"/>
    <s v="JOAQUIN AVINO, INC."/>
    <s v="CAROLINA"/>
    <s v="Manufacturan puertas, marcos y ventanas en madera"/>
    <x v="33"/>
    <n v="9342"/>
    <n v="0"/>
    <n v="9342"/>
    <n v="0"/>
    <s v="Programa de apoyo a empresarios minoritarios"/>
  </r>
  <r>
    <s v="FIE60-2024-2025-0048"/>
    <s v="2025-000290"/>
    <x v="182"/>
    <d v="2024-11-04T00:00:00"/>
    <d v="2024-12-31T00:00:00"/>
    <s v="Contract"/>
    <s v="DIGITAL PRESENCIAL, LLC"/>
    <s v="GUAYNABO"/>
    <s v="Otros"/>
    <x v="35"/>
    <n v="36840"/>
    <m/>
    <n v="36840"/>
    <n v="0"/>
    <s v="Otros - SERVICIOS PROFESIONALES PROGRAMA DE CINE"/>
  </r>
  <r>
    <s v="FIE60-2024-2025-0044"/>
    <s v="2025-000292"/>
    <x v="183"/>
    <d v="2024-11-07T00:00:00"/>
    <d v="2024-12-31T00:00:00"/>
    <s v="Contract"/>
    <s v="MUNICIPIO DE OROCOVIS"/>
    <s v="OROCOVIS"/>
    <s v="Incentivo para el Desarrollo de las Artesanías en PR"/>
    <x v="15"/>
    <n v="3405"/>
    <n v="0"/>
    <n v="3180"/>
    <n v="225"/>
    <s v="Artesanía"/>
  </r>
  <r>
    <s v="FIE60-2024-2025-0137"/>
    <s v="2025-000297"/>
    <x v="184"/>
    <d v="2024-11-07T00:00:00"/>
    <d v="2027-11-06T00:00:00"/>
    <s v="Contract"/>
    <s v="PROFESSIONAL ASPHALT LLC"/>
    <s v="SAN JUAN"/>
    <s v=" Asfalto Reciclado"/>
    <x v="36"/>
    <n v="647400"/>
    <m/>
    <m/>
    <n v="647400"/>
    <n v="13.2"/>
  </r>
  <r>
    <s v="FIE60-2024-2025-0150"/>
    <s v="2025-000299"/>
    <x v="185"/>
    <d v="2024-11-09T00:00:00"/>
    <d v="2024-11-08T00:00:00"/>
    <s v="Contract"/>
    <s v="HEWLETT PACKARD ENTERPRISE HOLDINGS CRL"/>
    <s v="AGUADILLA"/>
    <s v="Proyecto HPE PR Site Investment"/>
    <x v="36"/>
    <n v="3780000"/>
    <m/>
    <m/>
    <n v="3780000"/>
    <n v="1.1000000000000001"/>
  </r>
  <r>
    <s v="FIE60-2024-2025-0123"/>
    <s v="2025-000298"/>
    <x v="173"/>
    <d v="2024-11-09T00:00:00"/>
    <d v="2027-11-08T00:00:00"/>
    <s v="Contract"/>
    <s v="LITTLE THINGS LLC"/>
    <s v="GUAYNABO"/>
    <s v="Manufactura de muebles institucionales, del hogar y productos relacionados"/>
    <x v="8"/>
    <n v="5250"/>
    <m/>
    <m/>
    <n v="5250"/>
    <n v="3.18"/>
  </r>
  <r>
    <s v="FIE60-2024-2025-0148"/>
    <s v="2025-000301"/>
    <x v="184"/>
    <d v="2024-11-11T00:00:00"/>
    <d v="2030-11-10T00:00:00"/>
    <s v="Contract"/>
    <s v="HEWLETT PACKARD ENTERPRISE CRL"/>
    <s v="AGUADILLA"/>
    <s v="Proyecto HPE PR Site Investment"/>
    <x v="36"/>
    <n v="2520000"/>
    <m/>
    <m/>
    <n v="2520000"/>
    <n v="75.94"/>
  </r>
  <r>
    <s v="FIE60-2024-2025-0152"/>
    <s v="2025-000300"/>
    <x v="186"/>
    <d v="2024-11-11T00:00:00"/>
    <d v="2030-11-10T00:00:00"/>
    <s v="Contract"/>
    <s v="HEWLETT PACKARD ENTERPRISE I LLC"/>
    <s v="AGUADILLA"/>
    <s v="Proyecto HPE PR Site Investment"/>
    <x v="36"/>
    <n v="2100000"/>
    <m/>
    <m/>
    <n v="2100000"/>
    <n v="97.88"/>
  </r>
  <r>
    <s v="FIE60-2024-2025-0151"/>
    <s v="2025-000315"/>
    <x v="187"/>
    <d v="2024-11-13T00:00:00"/>
    <d v="2029-06-30T00:00:00"/>
    <s v="Contract"/>
    <s v="HEWLETT PACKARD ENTERPRISE I LLC"/>
    <s v="AGUADILLA"/>
    <s v="Proyecto HPE PR Site Investment"/>
    <x v="8"/>
    <n v="623100"/>
    <m/>
    <m/>
    <n v="623100"/>
    <n v="97.88"/>
  </r>
  <r>
    <s v="FIE60-2024-2025-0156"/>
    <s v="2025-000314"/>
    <x v="187"/>
    <d v="2024-11-13T00:00:00"/>
    <d v="2029-06-30T00:00:00"/>
    <s v="Contract"/>
    <s v="HEWLETT PACKARD ENTERPRISE V LLC"/>
    <s v="AGUADILLA"/>
    <s v="Proyecto HPE PR Site Investment"/>
    <x v="8"/>
    <n v="1179900"/>
    <m/>
    <m/>
    <n v="1179900"/>
    <n v="55.91"/>
  </r>
  <r>
    <s v="FIE60-2024-2025-0153"/>
    <s v="2025-000313"/>
    <x v="187"/>
    <d v="2024-11-13T00:00:00"/>
    <d v="2029-06-30T00:00:00"/>
    <s v="Contract"/>
    <s v="HEWLETT PACKARD ENTERPRISE III LLC"/>
    <s v="AGUADILLA"/>
    <s v="Proyecto HPE PR Site Investment"/>
    <x v="8"/>
    <n v="250000"/>
    <m/>
    <m/>
    <n v="250000"/>
    <n v="24.73"/>
  </r>
  <r>
    <s v="FIE60-2024-2025-0147"/>
    <s v="2025-000311"/>
    <x v="187"/>
    <d v="2024-11-13T00:00:00"/>
    <d v="2029-06-30T00:00:00"/>
    <s v="Contract"/>
    <s v="HEWLETT PACKARD ENTERPRISE CRL"/>
    <s v="AGUADILLA"/>
    <s v="Proyecto HPE PR Site Investment"/>
    <x v="8"/>
    <n v="3375000"/>
    <m/>
    <m/>
    <n v="3375000"/>
    <n v="75.94"/>
  </r>
  <r>
    <s v="FIE60-2024-2025-0149"/>
    <s v="2025-000312"/>
    <x v="187"/>
    <d v="2024-11-13T00:00:00"/>
    <d v="2029-06-30T00:00:00"/>
    <s v="Contract"/>
    <s v="HEWLETT PACKARD ENTERPRISE HOLDINGS CRL"/>
    <s v="AGUADILLA"/>
    <s v="Proyecto HPE PR Site Investment"/>
    <x v="8"/>
    <n v="2267000"/>
    <m/>
    <m/>
    <n v="2267000"/>
    <n v="1.1000000000000001"/>
  </r>
  <r>
    <s v="FIE60-2024-2025-0138"/>
    <s v="2025-000316"/>
    <x v="187"/>
    <d v="2024-11-14T00:00:00"/>
    <d v="2024-11-13T00:00:00"/>
    <s v="Contract"/>
    <s v="AMASAR LLC"/>
    <s v="JAYUYA"/>
    <s v="Elaboración de Productos derivados de la Pana y otras viandas"/>
    <x v="34"/>
    <n v="15000"/>
    <m/>
    <m/>
    <n v="15000"/>
    <n v="1.61"/>
  </r>
  <r>
    <s v="FIE60-2024-2025-0154"/>
    <s v="2025-000317"/>
    <x v="186"/>
    <d v="2024-11-14T00:00:00"/>
    <d v="2029-06-30T00:00:00"/>
    <s v="Contract"/>
    <s v="HEWLETT PACKARD ENTERPRISE IV LLC"/>
    <s v="AGUADILLA"/>
    <s v="Proyecto HPE PR Site Improvement"/>
    <x v="8"/>
    <n v="1505000"/>
    <m/>
    <m/>
    <n v="1505000"/>
    <n v="4.5999999999999996"/>
  </r>
  <r>
    <s v="FIE60-2024-2025-0140"/>
    <s v="2025-000326"/>
    <x v="188"/>
    <d v="2024-11-16T00:00:00"/>
    <d v="2026-11-15T00:00:00"/>
    <s v="Contract"/>
    <s v="HACIENDA CHOCOLAT CORPORATION"/>
    <s v="RÍO GRANDE"/>
    <s v="Elaboración de barras de chocolate y productos derivados del cacao"/>
    <x v="36"/>
    <n v="72000"/>
    <m/>
    <m/>
    <n v="72000"/>
    <n v="3.05"/>
  </r>
  <r>
    <s v="FIE60-2024-2025-0159"/>
    <s v="2025-000327"/>
    <x v="189"/>
    <d v="2024-11-16T00:00:00"/>
    <d v="2024-11-15T00:00:00"/>
    <s v="Contract"/>
    <s v="AMASAR LLC"/>
    <s v="JAYUYA"/>
    <s v="Elaboración de Productos derivados de la Pana y otras viandas"/>
    <x v="8"/>
    <n v="3000"/>
    <m/>
    <m/>
    <n v="3000"/>
    <n v="1.61"/>
  </r>
  <r>
    <s v="FIE60-2024-2025-0139"/>
    <s v="2025-000328"/>
    <x v="190"/>
    <d v="2024-11-18T00:00:00"/>
    <d v="2025-11-17T00:00:00"/>
    <s v="Contract"/>
    <s v="AMASAR LLC"/>
    <s v="JAYUYA"/>
    <s v="Elaboración de Productos derivados de la Pana y otras viandas"/>
    <x v="32"/>
    <n v="50000"/>
    <m/>
    <m/>
    <n v="50000"/>
    <n v="1.61"/>
  </r>
  <r>
    <s v="FIE60-2024-2025-0043"/>
    <s v="2025-000322"/>
    <x v="162"/>
    <d v="2024-11-18T00:00:00"/>
    <d v="2027-11-17T00:00:00"/>
    <s v="Contract"/>
    <s v="GUEISHANT J. OCASIO RODRIGUEZ"/>
    <s v="PEÑUELAS"/>
    <s v="Incentivo para el Desarrollo de las Artesanías en PR"/>
    <x v="15"/>
    <n v="1000"/>
    <m/>
    <n v="1000"/>
    <n v="0"/>
    <s v="Artesanía"/>
  </r>
  <r>
    <s v="FIE60-2024-2025-0043"/>
    <s v="2025-000332"/>
    <x v="162"/>
    <d v="2024-11-20T00:00:00"/>
    <d v="2024-11-19T00:00:00"/>
    <s v="Cancelled"/>
    <s v="DANIEL ROSA ARTURET"/>
    <s v="LAS PIEDRAS"/>
    <s v="Incentivo para el Desarrollo de las Artesanías en PR"/>
    <x v="15"/>
    <n v="1000"/>
    <n v="2.02"/>
    <n v="997.98"/>
    <n v="0"/>
    <s v="Artesanía.  Finanzas solicita cancelar balance al 04-10-2025"/>
  </r>
  <r>
    <s v="FIE60-2024-2025-0145"/>
    <s v="2025-000329"/>
    <x v="188"/>
    <d v="2024-11-20T00:00:00"/>
    <d v="3034-06-30T00:00:00"/>
    <s v="Contract"/>
    <s v="DNG, INC."/>
    <s v="SAN SEBASTIÁN"/>
    <s v="Manufactura de muebles y gabinetes de cocina"/>
    <x v="33"/>
    <n v="9211"/>
    <n v="0"/>
    <n v="9211"/>
    <n v="0"/>
    <s v="Programa de apoyo a empresarios minoritarios"/>
  </r>
  <r>
    <s v="FIE60-2024-2025-0136"/>
    <s v="2025-000330"/>
    <x v="175"/>
    <d v="2024-11-20T00:00:00"/>
    <d v="2025-12-31T00:00:00"/>
    <s v="Contract"/>
    <s v="B.B. BEDDING, LLC"/>
    <s v="TRUJILLO ALTO"/>
    <s v="Manufactura de mattresses y Box Springs"/>
    <x v="33"/>
    <n v="34274"/>
    <m/>
    <n v="34274"/>
    <n v="0"/>
    <s v="Programa de apoyo a empresarios minoritarios"/>
  </r>
  <r>
    <s v="FIE60-2024-2025-0036"/>
    <s v="2025-000336"/>
    <x v="162"/>
    <d v="2024-11-21T00:00:00"/>
    <d v="2025-11-20T00:00:00"/>
    <s v="Contract"/>
    <s v="THE FISH OCEAN GRILL"/>
    <s v="AGUADA"/>
    <s v="Programas y alianzas"/>
    <x v="35"/>
    <n v="10000"/>
    <m/>
    <n v="1197.5"/>
    <n v="8802.5"/>
    <s v="Otros"/>
  </r>
  <r>
    <s v="FIE60-2024-2025-0036"/>
    <s v="2025-000335"/>
    <x v="162"/>
    <d v="2024-11-21T00:00:00"/>
    <d v="2025-11-20T00:00:00"/>
    <s v="Contract"/>
    <s v="PLANTA SOLAR, LLC"/>
    <s v="MANATÍ"/>
    <s v="Programas y alianzas"/>
    <x v="35"/>
    <n v="8528"/>
    <m/>
    <m/>
    <n v="8528"/>
    <s v="Otros"/>
  </r>
  <r>
    <s v="FIE60-2024-2025-0043"/>
    <s v="2025-000334"/>
    <x v="162"/>
    <d v="2024-11-21T00:00:00"/>
    <d v="2027-11-20T00:00:00"/>
    <s v="Contract"/>
    <s v="GIBRAN L COLON RENTAS"/>
    <s v="TOA ALTA"/>
    <s v="Incentivo para el Desarrollo de las Artesanías en PR"/>
    <x v="15"/>
    <n v="1000"/>
    <m/>
    <m/>
    <n v="1000"/>
    <s v="Artesanía"/>
  </r>
  <r>
    <s v="FIE60-2024-2025-0036"/>
    <s v="2025-000333"/>
    <x v="162"/>
    <d v="2024-11-21T00:00:00"/>
    <s v="11/202/2025"/>
    <s v="Contract"/>
    <s v="BRAIN CONNECTIONS CORP"/>
    <s v="PONCE"/>
    <s v="Programas y alianzas"/>
    <x v="35"/>
    <n v="10000"/>
    <m/>
    <m/>
    <n v="10000"/>
    <s v="Otros"/>
  </r>
  <r>
    <s v="FIE60-2024-2025-0036"/>
    <s v="2025-000339"/>
    <x v="162"/>
    <d v="2024-11-22T00:00:00"/>
    <d v="2025-11-21T00:00:00"/>
    <s v="Contract"/>
    <s v="FELCO, INC"/>
    <s v="SAN JUAN"/>
    <s v="Programas y alianzas"/>
    <x v="35"/>
    <n v="10000"/>
    <m/>
    <m/>
    <n v="10000"/>
    <s v="Otros"/>
  </r>
  <r>
    <s v="FIE60-2024-2025-0036"/>
    <s v="2025-000342"/>
    <x v="162"/>
    <d v="2024-11-22T00:00:00"/>
    <d v="2025-11-21T00:00:00"/>
    <s v="Contract"/>
    <s v="ED DIGITAL LLC"/>
    <s v="MAYAGUEZ"/>
    <s v="Programas y alianzas"/>
    <x v="35"/>
    <n v="10000"/>
    <m/>
    <m/>
    <n v="10000"/>
    <s v="Otros"/>
  </r>
  <r>
    <s v="FIE60-2024-2025-0036"/>
    <s v="2025-000340"/>
    <x v="162"/>
    <d v="2024-11-22T00:00:00"/>
    <d v="2024-11-21T00:00:00"/>
    <s v="Contract"/>
    <s v="HIGH KITCHEN, LLC"/>
    <s v="SAN JUAN"/>
    <s v="Programas y alianzas"/>
    <x v="35"/>
    <n v="10000"/>
    <m/>
    <n v="10000"/>
    <n v="0"/>
    <s v="Otros"/>
  </r>
  <r>
    <s v="FIE60-2024-2025-0036"/>
    <s v="2025-000343"/>
    <x v="162"/>
    <d v="2024-11-25T00:00:00"/>
    <d v="2026-05-24T00:00:00"/>
    <s v="Contract"/>
    <s v="HOGAR VILLA EBENEZER, LLC"/>
    <s v="MAYAGUEZ"/>
    <s v="Programas y alianzas"/>
    <x v="35"/>
    <n v="5000"/>
    <m/>
    <m/>
    <n v="5000"/>
    <s v="Otros"/>
  </r>
  <r>
    <s v="FIE60-2024-2025-0036"/>
    <s v="2025-000350"/>
    <x v="162"/>
    <d v="2024-11-25T00:00:00"/>
    <d v="2025-11-24T00:00:00"/>
    <s v="Contract"/>
    <s v="CATALA ORTIZ, LLC"/>
    <s v="NARANJITO"/>
    <s v="Programas y alianzas"/>
    <x v="35"/>
    <n v="10000"/>
    <m/>
    <m/>
    <n v="10000"/>
    <s v="Otros"/>
  </r>
  <r>
    <s v="FIE60-2024-2025-0036"/>
    <s v="2025-000344"/>
    <x v="162"/>
    <d v="2024-11-25T00:00:00"/>
    <d v="2025-11-24T00:00:00"/>
    <s v="Contract"/>
    <s v="BRANCH JUSTICES INVESTIGATIONS (BJI), C.S.P."/>
    <s v="SAN JUAN"/>
    <s v="Programas y alianzas"/>
    <x v="35"/>
    <n v="10000"/>
    <m/>
    <n v="2124"/>
    <n v="7876"/>
    <s v="Otros"/>
  </r>
  <r>
    <s v="FIE60-2024-2025-0146"/>
    <s v="2025-000349"/>
    <x v="185"/>
    <d v="2024-11-25T00:00:00"/>
    <d v="2025-01-31T00:00:00"/>
    <s v="Contract"/>
    <s v="EMPRESARIOS POR PUERTO RICO"/>
    <s v="TOA BAJA"/>
    <s v="Auspicio Camp. Cómprale al de Aquí"/>
    <x v="35"/>
    <n v="25000"/>
    <m/>
    <n v="20000"/>
    <n v="5000"/>
    <s v="Auspicio"/>
  </r>
  <r>
    <s v="FIE60-2024-2025-0079"/>
    <s v="2025-000352"/>
    <x v="162"/>
    <d v="2024-11-25T00:00:00"/>
    <d v="2025-11-24T00:00:00"/>
    <s v="Contract"/>
    <s v="UNIVERSIDAD INTERAMERICANA DE PR"/>
    <s v="SAN JUAN"/>
    <s v="Otros"/>
    <x v="7"/>
    <n v="310000"/>
    <m/>
    <m/>
    <n v="310000"/>
    <s v="Otros"/>
  </r>
  <r>
    <s v="FIE60-2024-2025-0008"/>
    <s v="2024-001025-A"/>
    <x v="191"/>
    <d v="2024-09-13T00:00:00"/>
    <d v="2025-05-15T00:00:00"/>
    <s v="Contract"/>
    <s v="B.B. BEDDING, LLC"/>
    <s v="TRUJILLO ALTO"/>
    <s v="Manufactura de mattresses y Box Springs"/>
    <x v="33"/>
    <n v="28069"/>
    <n v="0"/>
    <n v="28069"/>
    <n v="0"/>
    <s v="Programa de apoyo a empresarios minoritarios"/>
  </r>
  <r>
    <s v="FIE60-2024-2025-0014"/>
    <s v="2024-001025-B"/>
    <x v="191"/>
    <d v="2024-09-13T00:00:00"/>
    <d v="2025-05-15T00:00:00"/>
    <s v="Contract"/>
    <s v="B.B. BEDDING, LLC"/>
    <s v="TRUJILLO ALTO"/>
    <s v="Manufactura de mattresses y Box Springs"/>
    <x v="33"/>
    <n v="34614"/>
    <n v="0"/>
    <n v="34614"/>
    <n v="0"/>
    <s v="Programa de apoyo a empresarios minoritarios"/>
  </r>
  <r>
    <s v="FIE60-2023-2024-0324"/>
    <s v="2024-000956-B"/>
    <x v="164"/>
    <d v="2024-08-30T00:00:00"/>
    <d v="2025-04-16T00:00:00"/>
    <s v="Contract"/>
    <s v="HOGAREA, INC."/>
    <s v="CAGUAS"/>
    <s v="Fábrica de gabinetes y tapes de cocinas"/>
    <x v="33"/>
    <n v="3738"/>
    <n v="0"/>
    <n v="3738"/>
    <n v="0"/>
    <s v="Programa de apoyo a empresarios minoritarios"/>
  </r>
  <r>
    <s v="FIE60-2024-2025-0010"/>
    <s v="2024-000956-C"/>
    <x v="192"/>
    <d v="2024-09-09T00:00:00"/>
    <d v="2025-04-16T00:00:00"/>
    <s v="Contract"/>
    <s v="HOGAREA, INC."/>
    <s v="CAGUAS"/>
    <s v="Fábrica de gabinetes y tapes de cocinas"/>
    <x v="33"/>
    <n v="2698"/>
    <n v="0"/>
    <n v="2698"/>
    <n v="0"/>
    <s v="Programa de apoyo a empresarios minoritarios"/>
  </r>
  <r>
    <s v="FIE60-2024-2025-0012"/>
    <s v="2024-001027-A"/>
    <x v="193"/>
    <d v="2024-09-17T00:00:00"/>
    <d v="2025-06-30T00:00:00"/>
    <s v="Contract"/>
    <s v="DNG, INC."/>
    <s v="SAN SEBASTIAN"/>
    <s v="Manufactura de muebles y gabinetes de cocina"/>
    <x v="33"/>
    <n v="9718"/>
    <n v="0"/>
    <n v="9718"/>
    <n v="0"/>
    <s v="Programa de apoyo a empresarios minoritarios"/>
  </r>
  <r>
    <s v="FIE60-2024-2025-0026"/>
    <s v="2024-001027-B"/>
    <x v="193"/>
    <d v="2024-09-17T00:00:00"/>
    <d v="2025-06-30T00:00:00"/>
    <s v="Contract"/>
    <s v="DNG, INC."/>
    <s v="SAN SEBASTIAN"/>
    <s v="Manufactura de muebles y gabinetes de cocina"/>
    <x v="33"/>
    <n v="9423"/>
    <n v="0"/>
    <n v="9423"/>
    <n v="0"/>
    <s v="Programa de apoyo a empresarios minoritarios"/>
  </r>
  <r>
    <s v="FIE60-2024-2025-0105"/>
    <s v="2024-001009-C"/>
    <x v="194"/>
    <d v="2024-09-24T00:00:00"/>
    <d v="2025-05-07T00:00:00"/>
    <s v="Contract"/>
    <s v="L.S. QUILTING, INC."/>
    <s v="TOA ALTA"/>
    <s v="Manufactura de colchas"/>
    <x v="33"/>
    <n v="15414"/>
    <n v="0"/>
    <n v="15414"/>
    <n v="0"/>
    <s v="Programa de apoyo a empresarios minoritarios"/>
  </r>
  <r>
    <s v="FIE60-2024-2025-0009"/>
    <s v="2024-001026-B"/>
    <x v="195"/>
    <d v="2024-08-23T00:00:00"/>
    <d v="2025-05-15T00:00:00"/>
    <s v="Contract"/>
    <s v="PURE PEDIC LLC"/>
    <s v="TRUJILLO ALTO"/>
    <s v="Manufactura y tapizado de camas de posiciones bajo el programa de &quot;Mattresses&quot; y &quot;Box Spings&quot;."/>
    <x v="33"/>
    <n v="9969"/>
    <n v="0"/>
    <n v="9969"/>
    <n v="0"/>
    <s v="Programa de apoyo a empresarios minoritarios"/>
  </r>
  <r>
    <s v="FIE60-2024-2025-0024"/>
    <s v="2024-000939-B"/>
    <x v="195"/>
    <d v="2024-08-23T00:00:00"/>
    <d v="2025-04-11T00:00:00"/>
    <s v="Contract"/>
    <s v="SONIA I. ROMAN SOLER HNC CLARO CASA"/>
    <s v="ISABELA"/>
    <s v="Manufactura de productos textiles para el hogar"/>
    <x v="33"/>
    <n v="5122"/>
    <n v="0"/>
    <n v="5122"/>
    <n v="0"/>
    <s v="Programa de apoyo a empresarios minoritarios"/>
  </r>
  <r>
    <s v="FIE60-2024-2025-0036"/>
    <s v="2025-000348"/>
    <x v="162"/>
    <d v="2024-11-25T00:00:00"/>
    <d v="2026-05-24T00:00:00"/>
    <s v="Contract"/>
    <s v="FITNESS PROTOCOL CORPORATION HNC TRINITY FITNESS"/>
    <s v="CABO ROJO"/>
    <s v="Otros"/>
    <x v="35"/>
    <n v="5000"/>
    <n v="0"/>
    <m/>
    <n v="5000"/>
    <m/>
  </r>
  <r>
    <s v="FIE60-2024-2025-0043"/>
    <s v="2025-000354"/>
    <x v="162"/>
    <d v="2024-11-27T00:00:00"/>
    <d v="2026-11-26T00:00:00"/>
    <s v="Cancelled"/>
    <s v="YAJAIRA DIAZ LOPEZ"/>
    <s v="SAN JUAN"/>
    <s v="Incentivo para el Desarrollo de las Artesanías en PR"/>
    <x v="15"/>
    <n v="1017"/>
    <n v="17"/>
    <n v="1000"/>
    <n v="0"/>
    <s v="Finanzas solicita cancelar balance al 4-10-2025"/>
  </r>
  <r>
    <s v="FIE60-2024-2025-0036"/>
    <s v="2025-000361"/>
    <x v="162"/>
    <d v="2024-12-02T00:00:00"/>
    <d v="2026-06-01T00:00:00"/>
    <s v="Contract"/>
    <s v="CAFE DEL ABUELO, INC. HNC COLMADO CENTRO DEL BEBE CAFE DEL ABUELO"/>
    <s v="COAMO"/>
    <s v="Otros"/>
    <x v="31"/>
    <n v="5000"/>
    <n v="0"/>
    <m/>
    <n v="5000"/>
    <m/>
  </r>
  <r>
    <s v="FIE60-2024-2025-0132"/>
    <s v="2025-000347"/>
    <x v="196"/>
    <d v="2024-12-03T00:00:00"/>
    <d v="2025-12-31T00:00:00"/>
    <s v="Contract"/>
    <s v="SONIA I. ROMAN SOLER HNC CLARO CASA"/>
    <s v="ISABELA"/>
    <s v="Incentivo para Manufactura de Muebles y Textiles - Ley 8"/>
    <x v="33"/>
    <n v="5091"/>
    <n v="0"/>
    <n v="5091"/>
    <n v="0"/>
    <s v="Programa de apoyo a empresarios minoritarios"/>
  </r>
  <r>
    <s v="FIE60-2024-2025-0171"/>
    <s v="2025-000365"/>
    <x v="197"/>
    <d v="2024-12-06T00:00:00"/>
    <d v="2027-06-30T00:00:00"/>
    <s v="Contract"/>
    <s v="SAN JUAN ARTISAN DISTILLERS, LLC"/>
    <s v="VEGA ALTA"/>
    <s v="Manufactura de ron artesanal"/>
    <x v="32"/>
    <n v="50000"/>
    <n v="0"/>
    <m/>
    <n v="50000"/>
    <m/>
  </r>
  <r>
    <s v="FIE60-2024-2025-0107"/>
    <s v="2025-000372"/>
    <x v="198"/>
    <d v="2024-12-11T00:00:00"/>
    <d v="2029-12-10T00:00:00"/>
    <s v="Contract"/>
    <s v="BARD SHANNON LTD."/>
    <s v="LAS PIEDRAS"/>
    <s v="Maquinaria y Equipo"/>
    <x v="36"/>
    <n v="1560000"/>
    <n v="0"/>
    <m/>
    <n v="1560000"/>
    <n v="46.64"/>
  </r>
  <r>
    <s v="FIE60-2024-2025-0106"/>
    <s v="2025-000373"/>
    <x v="198"/>
    <d v="2024-12-11T00:00:00"/>
    <d v="2029-12-10T00:00:00"/>
    <s v="Contract"/>
    <s v="BARD SHANNON LTD."/>
    <s v="LAS PIEDRAS"/>
    <s v="Empleo Básico y localización"/>
    <x v="8"/>
    <n v="85000"/>
    <n v="0"/>
    <m/>
    <n v="85000"/>
    <n v="46.64"/>
  </r>
  <r>
    <s v="FIE60-2024-2025-0161"/>
    <s v="2025-000371"/>
    <x v="186"/>
    <d v="2024-12-11T00:00:00"/>
    <d v="2029-06-30T00:00:00"/>
    <s v="Contract"/>
    <s v="SABOR BORICUA LLC"/>
    <s v="CAGUAS"/>
    <s v="Empleo Básico y localización"/>
    <x v="8"/>
    <n v="2250"/>
    <n v="0"/>
    <m/>
    <n v="2250"/>
    <n v="10.01"/>
  </r>
  <r>
    <s v="FIE60-2024-2025-0036"/>
    <s v="2025-000386"/>
    <x v="162"/>
    <d v="2024-12-16T00:00:00"/>
    <d v="2026-06-15T00:00:00"/>
    <s v="Contract"/>
    <s v="URBAN TREADZ, LLC"/>
    <s v="GURABO"/>
    <s v="Otros"/>
    <x v="31"/>
    <n v="5000"/>
    <n v="0"/>
    <n v="1819.5"/>
    <n v="3180.5"/>
    <m/>
  </r>
  <r>
    <s v="FIE60-2024-2025-0036"/>
    <s v="2025-000390"/>
    <x v="162"/>
    <d v="2024-12-16T00:00:00"/>
    <d v="2025-12-15T00:00:00"/>
    <s v="Contract"/>
    <s v="JSR SERVICES, LLC"/>
    <s v="GUAYNABO"/>
    <s v="Otros"/>
    <x v="20"/>
    <n v="10000"/>
    <n v="0"/>
    <m/>
    <n v="10000"/>
    <m/>
  </r>
  <r>
    <s v="FIE60-2024-2025-0043"/>
    <s v="2025-000391"/>
    <x v="162"/>
    <d v="2024-12-16T00:00:00"/>
    <d v="2027-12-17T00:00:00"/>
    <s v="Contract"/>
    <s v="LOURDES FERNANDEZ RIOS"/>
    <s v="SAN JUAN"/>
    <s v="Incentivo para el Desarrollo de las Artesanías en PR"/>
    <x v="15"/>
    <n v="1000"/>
    <n v="0"/>
    <n v="881.51"/>
    <n v="118.49000000000001"/>
    <m/>
  </r>
  <r>
    <s v="FIE60-2024-2025-0043"/>
    <s v="2025-000392"/>
    <x v="162"/>
    <d v="2024-12-17T00:00:00"/>
    <d v="2027-12-16T00:00:00"/>
    <s v="Contract"/>
    <s v="AWILDA RODRIGUEZ HERNANDEZ"/>
    <s v="CAYEY"/>
    <s v="Incentivo para el Desarrollo de las Artesanías en PR"/>
    <x v="15"/>
    <n v="1000"/>
    <n v="0"/>
    <n v="1000"/>
    <n v="0"/>
    <m/>
  </r>
  <r>
    <s v="FIE60-2024-2025-0162"/>
    <s v="2025-000381"/>
    <x v="186"/>
    <d v="2024-12-17T00:00:00"/>
    <d v="2029-06-30T00:00:00"/>
    <s v="Contract"/>
    <s v="SABOR BORICUA LLC"/>
    <s v="CAGUAS"/>
    <s v="Maquinaria y Equipo"/>
    <x v="36"/>
    <n v="9000"/>
    <n v="0"/>
    <m/>
    <n v="9000"/>
    <n v="10.01"/>
  </r>
  <r>
    <s v="FIE60-2024-2025-0172"/>
    <s v="2025-000382"/>
    <x v="197"/>
    <d v="2024-12-17T00:00:00"/>
    <d v="2029-06-30T00:00:00"/>
    <s v="Contract"/>
    <s v="SABOR BORICUA LLC"/>
    <s v="CAGUAS"/>
    <s v="Incentivo para Actividades de Mercadeo"/>
    <x v="32"/>
    <n v="20000"/>
    <n v="0"/>
    <m/>
    <n v="20000"/>
    <n v="10.01"/>
  </r>
  <r>
    <s v="FIE60-2024-2025-0020"/>
    <s v="2025-000247-A"/>
    <x v="155"/>
    <d v="2024-12-18T00:00:00"/>
    <d v="2029-10-08T00:00:00"/>
    <s v="Contract"/>
    <s v="XTILLION, LLC"/>
    <s v="SAN JUAN"/>
    <s v="Empleo Básico y localización"/>
    <x v="8"/>
    <n v="560000"/>
    <n v="0"/>
    <m/>
    <n v="560000"/>
    <n v="6.93"/>
  </r>
  <r>
    <s v="FIE60-2024-2025-0190"/>
    <s v="2025-000403"/>
    <x v="199"/>
    <d v="2024-12-19T00:00:00"/>
    <d v="2026-12-19T00:00:00"/>
    <s v="Contract"/>
    <s v="LATIN SHOTS, INC"/>
    <s v="AIBONITO"/>
    <s v="Incentivo para Actividades de Mercadeo"/>
    <x v="32"/>
    <n v="50000"/>
    <n v="0"/>
    <m/>
    <n v="50000"/>
    <n v="15.12"/>
  </r>
  <r>
    <s v="FIE60-2024-2025-0157"/>
    <s v="2025-000302-A"/>
    <x v="185"/>
    <d v="2024-12-19T00:00:00"/>
    <d v="2030-11-10T00:00:00"/>
    <s v="Contract"/>
    <s v="HEWLETT PACKARD ENTERPRISE V LLC"/>
    <s v="AGUADILLA"/>
    <s v="Maquinaria y Equipo"/>
    <x v="36"/>
    <n v="6300000"/>
    <n v="0"/>
    <m/>
    <n v="6300000"/>
    <n v="55.91"/>
  </r>
  <r>
    <s v="FIE60-2024-2025-0189"/>
    <s v="2025-000398"/>
    <x v="199"/>
    <d v="2024-12-20T00:00:00"/>
    <d v="2029-12-19T00:00:00"/>
    <s v="Contract"/>
    <s v="LATIN SHOTS, INC"/>
    <s v="AIBONITO"/>
    <s v="Maquinaria y Equipo"/>
    <x v="36"/>
    <n v="90000"/>
    <n v="0"/>
    <m/>
    <n v="90000"/>
    <n v="15.12"/>
  </r>
  <r>
    <s v="FIE60-2024-2025-0188"/>
    <s v="2025-000397"/>
    <x v="199"/>
    <d v="2024-12-20T00:00:00"/>
    <d v="2027-12-19T00:00:00"/>
    <s v="Contract"/>
    <s v="LATIN SHOTS, INC"/>
    <s v="AIBONITO"/>
    <s v="Empleo Básico y localización"/>
    <x v="8"/>
    <n v="32250"/>
    <n v="0"/>
    <m/>
    <n v="32250"/>
    <n v="15.12"/>
  </r>
  <r>
    <s v="FIE60-2024-2025-0169"/>
    <s v="2025-000405"/>
    <x v="200"/>
    <d v="2024-12-23T00:00:00"/>
    <d v="2025-09-30T00:00:00"/>
    <s v="Contract"/>
    <s v="DNG, INC."/>
    <s v="SAN SEBASTIÁN"/>
    <s v="Incentivo para Manufactura de Muebles y Textiles - Ley 8"/>
    <x v="33"/>
    <n v="37000"/>
    <n v="0"/>
    <n v="15650"/>
    <n v="21350"/>
    <s v="Programa de apoyo a empresarios minoritarios"/>
  </r>
  <r>
    <s v="FIE60-2024-2025-0164"/>
    <s v="2025-000407"/>
    <x v="201"/>
    <d v="2024-12-23T00:00:00"/>
    <d v="2025-09-30T00:00:00"/>
    <s v="Contract"/>
    <s v="L.S. QUILTING, INC."/>
    <s v="TOA ALTA"/>
    <s v="Incentivo para Manufactura de Muebles y Textiles - Ley 8"/>
    <x v="33"/>
    <n v="69000"/>
    <n v="0"/>
    <n v="27643"/>
    <n v="41357"/>
    <s v="FIE60-2024-2025-0035"/>
  </r>
  <r>
    <s v="FIE60-2024-2025-0160"/>
    <s v="2025-000404"/>
    <x v="186"/>
    <d v="2024-12-23T00:00:00"/>
    <d v="2025-09-30T00:00:00"/>
    <s v="Contract"/>
    <s v="JOAQUIN AVINO, INC."/>
    <s v="SAN JUAN"/>
    <s v="Incentivo para Manufactura de Muebles y Textiles - Ley 8"/>
    <x v="33"/>
    <n v="37000"/>
    <n v="0"/>
    <n v="5581"/>
    <n v="31419"/>
    <s v="Programa de apoyo a empresarios minoritarios"/>
  </r>
  <r>
    <s v="FIE60-2024-2025-0168"/>
    <s v="2025-000406"/>
    <x v="200"/>
    <d v="2024-12-23T00:00:00"/>
    <d v="2025-09-30T00:00:00"/>
    <s v="Contract"/>
    <s v="DIAZ BROTHERS, INC."/>
    <s v="PONCE"/>
    <s v="Incentivo para Manufactura de Muebles y Textiles - Ley 8"/>
    <x v="33"/>
    <n v="27000"/>
    <n v="0"/>
    <n v="16425"/>
    <n v="10575"/>
    <s v="Programa de apoyo a empresarios minoritarios"/>
  </r>
  <r>
    <s v="FIE60-2024-2025-0166"/>
    <s v="2025-000412"/>
    <x v="200"/>
    <d v="2024-12-26T00:00:00"/>
    <d v="2025-09-30T00:00:00"/>
    <s v="Contract"/>
    <s v="A. AVANTI KITCHENS, INC."/>
    <s v="GUAYNABO"/>
    <s v="Incentivo para Manufactura de Muebles y Textiles - Ley 8"/>
    <x v="33"/>
    <n v="150000"/>
    <n v="0"/>
    <n v="100796"/>
    <n v="49204"/>
    <s v="Programa de apoyo a empresarios minoritarios"/>
  </r>
  <r>
    <s v="FIE60-2024-2025-0176"/>
    <s v="2025-000411"/>
    <x v="106"/>
    <d v="2024-12-26T00:00:00"/>
    <d v="2025-09-30T00:00:00"/>
    <s v="Contract"/>
    <s v="SONIA I. ROMAN SOLER HNC CLARO CASA"/>
    <s v="ISABELA"/>
    <s v="Incentivo para Manufactura de Muebles y Textiles - Ley 8"/>
    <x v="33"/>
    <n v="33000"/>
    <n v="0"/>
    <n v="17773"/>
    <n v="15227"/>
    <m/>
  </r>
  <r>
    <s v="FIE60-2024-2025-0186"/>
    <s v="2025-000408"/>
    <x v="199"/>
    <d v="2024-12-26T00:00:00"/>
    <d v="2027-12-25T00:00:00"/>
    <s v="Contract"/>
    <s v="KGA ELECTROPLATING, LLC"/>
    <s v="CATAÑO"/>
    <s v="Empleo Básico y localización"/>
    <x v="8"/>
    <n v="6000"/>
    <n v="0"/>
    <m/>
    <n v="6000"/>
    <n v="3.04"/>
  </r>
  <r>
    <s v="FIE60-2024-2025-0187"/>
    <s v="2025-000409"/>
    <x v="199"/>
    <d v="2024-12-26T00:00:00"/>
    <d v="2027-12-25T00:00:00"/>
    <s v="Contract"/>
    <s v="KGA ELECTROPLATING, LLC"/>
    <s v="CATAÑO"/>
    <s v="Maquinaria y Equipo"/>
    <x v="36"/>
    <n v="30000"/>
    <n v="0"/>
    <m/>
    <n v="30000"/>
    <n v="3.04"/>
  </r>
  <r>
    <s v="FIE60-2024-2025-0044"/>
    <s v="2025-000160"/>
    <x v="162"/>
    <d v="2024-08-30T00:00:00"/>
    <d v="2024-12-31T00:00:00"/>
    <s v="Contract"/>
    <s v="MAYRA J. FALCON ALVAREZ"/>
    <s v="VEGA BAJA"/>
    <s v="Renglón de cuero"/>
    <x v="15"/>
    <n v="1440"/>
    <n v="0"/>
    <n v="1440"/>
    <n v="0"/>
    <s v="Programa de apoyo a empresarios minoritarios"/>
  </r>
  <r>
    <s v="FIE60-2024-2025-0044"/>
    <s v="2025-000172"/>
    <x v="162"/>
    <d v="2024-08-30T00:00:00"/>
    <d v="2024-12-31T00:00:00"/>
    <s v="Contract"/>
    <s v="ARTURO ORTIZ CASTRO"/>
    <s v="GURABO"/>
    <s v="Renglón de Cestería"/>
    <x v="15"/>
    <n v="1440"/>
    <n v="0"/>
    <n v="1440"/>
    <n v="0"/>
    <s v="Programa de apoyo a empresarios minoritarios"/>
  </r>
  <r>
    <s v="FIE60-2023-2024-0038"/>
    <s v="2024-000165-A"/>
    <x v="202"/>
    <d v="2023-12-12T00:00:00"/>
    <d v="2024-09-01T00:00:00"/>
    <s v="Contract"/>
    <s v="FIDEICOMISO PARA CIENCIAS, TECNOLOGÍA"/>
    <s v="SAN JUAN"/>
    <s v="Boricua Emprende"/>
    <x v="35"/>
    <n v="40000"/>
    <n v="0"/>
    <n v="30000"/>
    <n v="10000"/>
    <s v="Boricua Emprende Fest 2022-Gold Sponsor"/>
  </r>
  <r>
    <s v="FIE-2019-2020-IIP-0080"/>
    <s v="2020-000365-A"/>
    <x v="203"/>
    <d v="2023-10-12T00:00:00"/>
    <d v="2025-02-20T00:00:00"/>
    <s v="Contract"/>
    <s v="EMPRESAS ORTIZ BRUNET, INC."/>
    <s v="GUAYNABO"/>
    <s v="Arena manufacturada"/>
    <x v="37"/>
    <n v="500000"/>
    <m/>
    <n v="500000"/>
    <n v="0"/>
    <n v="0.24"/>
  </r>
  <r>
    <s v="FIE60-2023-2024-0053"/>
    <s v="2024-000778"/>
    <x v="131"/>
    <d v="2024-02-20T00:00:00"/>
    <d v="2024-06-30T00:00:00"/>
    <s v="Contract"/>
    <s v="ARTE APOTEOSICO, LLC"/>
    <s v="SAN JUAN"/>
    <s v="Producción de &quot;Capetillo&quot;"/>
    <x v="14"/>
    <n v="10000"/>
    <m/>
    <n v="9501.5299999999988"/>
    <n v="498.47000000000116"/>
    <s v="Cine"/>
  </r>
  <r>
    <s v="FIE60-2023-2024-0053"/>
    <s v="2024-000794"/>
    <x v="119"/>
    <d v="2024-02-29T00:00:00"/>
    <d v="2024-06-30T00:00:00"/>
    <s v="Contract"/>
    <s v="MATININO, LLC"/>
    <s v="SAN JUAN"/>
    <s v="Proyecto de largometraje"/>
    <x v="14"/>
    <n v="25000"/>
    <n v="0"/>
    <n v="23679.55"/>
    <n v="1320.4500000000007"/>
    <m/>
  </r>
  <r>
    <s v="FIE60-2022-2023-0039"/>
    <s v="2023-002333-C"/>
    <x v="204"/>
    <d v="2024-06-28T00:00:00"/>
    <d v="2024-12-31T00:00:00"/>
    <s v="Contract"/>
    <s v="ON POINT STRATEGY, LLC"/>
    <s v="COAMO"/>
    <s v="PCE Programa Alianzas"/>
    <x v="38"/>
    <n v="70000"/>
    <m/>
    <n v="68733.540000000008"/>
    <n v="1266.4599999999919"/>
    <m/>
  </r>
  <r>
    <s v="FIE60-2024-2025-0128"/>
    <s v="2024-001026-C"/>
    <x v="175"/>
    <d v="2024-10-28T00:00:00"/>
    <d v="2025-05-15T00:00:00"/>
    <s v="Contract"/>
    <s v="PURE PEDIC LLC"/>
    <s v="TRUJILLO ALTO"/>
    <s v="Manufactura y tapizado de camas de posiciones bajo el programa de &quot;Mattresses&quot; y &quot;Box Spings&quot;."/>
    <x v="33"/>
    <n v="6577"/>
    <n v="0"/>
    <n v="6577"/>
    <n v="0"/>
    <s v="Programa de apoyo a empresarios minoritarios"/>
  </r>
  <r>
    <s v="FIE60-2024-2025-0129"/>
    <s v="2024-000956-D"/>
    <x v="205"/>
    <d v="2024-11-01T00:00:00"/>
    <d v="2025-04-16T00:00:00"/>
    <s v="Contract"/>
    <s v="HOGAREA, INC."/>
    <s v="CAGUAS"/>
    <s v="Fábrica de gabinetes y tapes de cocinas"/>
    <x v="33"/>
    <n v="4050"/>
    <n v="0"/>
    <n v="4050"/>
    <n v="0"/>
    <s v="Programa de apoyo a empresarios minoritarios"/>
  </r>
  <r>
    <s v="FIE60-2024-2025-0080"/>
    <s v="2025-000251"/>
    <x v="206"/>
    <d v="2025-10-15T00:00:00"/>
    <d v="2025-09-30T00:00:00"/>
    <s v="Contract"/>
    <s v="P R MANUFACTURING EXTENSION, INC"/>
    <s v="SAN JUAN"/>
    <s v="Pareo de fondos requerido bajo la subvención concedida (grant) por el nist-mep"/>
    <x v="7"/>
    <n v="400000"/>
    <n v="0"/>
    <n v="400000"/>
    <n v="0"/>
    <s v="Programa de apoyo a empresarios minoritarios"/>
  </r>
  <r>
    <s v="FIE60-2024-2025-0044"/>
    <s v="2025-000170"/>
    <x v="164"/>
    <d v="2024-02-26T00:00:00"/>
    <d v="2024-12-31T00:00:00"/>
    <s v="Contract"/>
    <s v="LISEDIA RONDON REYMUNDI"/>
    <s v="GUAYNABO"/>
    <s v="Escuela Taller Artesanal (Escuela) de Guaynabo"/>
    <x v="15"/>
    <n v="1440"/>
    <n v="0"/>
    <n v="1440"/>
    <n v="0"/>
    <s v="Programa de apoyo a empresarios minoritarios"/>
  </r>
  <r>
    <s v="FIE60-2024-2025-0044"/>
    <s v="2025-000146-A"/>
    <x v="99"/>
    <d v="2024-03-04T00:00:00"/>
    <d v="2024-12-31T00:00:00"/>
    <s v="Contract"/>
    <s v="GEORGE ROMERO NAVEDO"/>
    <s v="PONCE "/>
    <s v="Talleres Artesanales Plaza"/>
    <x v="15"/>
    <n v="1440"/>
    <n v="0"/>
    <n v="1440"/>
    <n v="0"/>
    <s v="Programa de apoyo a empresarios minoritarios"/>
  </r>
  <r>
    <s v="FIE60-2024-2025-0044"/>
    <s v="2025-000148-A"/>
    <x v="165"/>
    <d v="2024-08-28T00:00:00"/>
    <d v="2024-12-31T00:00:00"/>
    <s v="Contract"/>
    <s v="NORMA GOMEZ RODRIGUEZ"/>
    <s v="SABANA GRANDE"/>
    <s v="Talleres Artesanales Plaza"/>
    <x v="15"/>
    <n v="1440"/>
    <n v="0"/>
    <n v="1440"/>
    <n v="0"/>
    <s v="Programa de apoyo a empresarios minoritarios"/>
  </r>
  <r>
    <s v="FIE60-2024-2025-0044"/>
    <s v="2025-000155"/>
    <x v="207"/>
    <d v="2024-08-29T00:00:00"/>
    <d v="2024-12-31T00:00:00"/>
    <s v="Contract"/>
    <s v="VINCENTY LUGO, ELIZA"/>
    <s v="LAJAS"/>
    <s v="Talleres Artesanales Plaza"/>
    <x v="15"/>
    <n v="1440"/>
    <n v="0"/>
    <n v="1440"/>
    <n v="0"/>
    <s v="Programa de apoyo a empresarios minoritarios"/>
  </r>
  <r>
    <s v="FIE60-2024-2025-0044"/>
    <s v="2025-000156"/>
    <x v="164"/>
    <d v="2024-08-30T00:00:00"/>
    <d v="2024-12-31T00:00:00"/>
    <s v="Contract"/>
    <s v="PEREZ TORRES, JACKELINE"/>
    <s v="SANTA ISABEL"/>
    <s v="Talleres Artesanales Plaza"/>
    <x v="15"/>
    <n v="1440"/>
    <n v="0"/>
    <n v="1440"/>
    <n v="0"/>
    <s v="Programa de apoyo a empresarios minoritarios"/>
  </r>
  <r>
    <s v="FIE60-2024-2025-0044"/>
    <s v="2025-000159"/>
    <x v="164"/>
    <d v="2024-08-30T00:00:00"/>
    <d v="2024-12-31T00:00:00"/>
    <s v="Contract"/>
    <s v="BRENDALIS RODRIGUEZ TORRES"/>
    <s v="PONCE "/>
    <s v="Talleres Artesanales Plaza"/>
    <x v="15"/>
    <n v="1440"/>
    <n v="0"/>
    <n v="1440"/>
    <n v="0"/>
    <s v="Programa de apoyo a empresarios minoritarios"/>
  </r>
  <r>
    <s v="FIE60-2024-2025-0044"/>
    <s v="2025-000158"/>
    <x v="164"/>
    <d v="2024-08-30T00:00:00"/>
    <d v="2024-12-31T00:00:00"/>
    <s v="Contract"/>
    <s v="IVETTE BOVER SEDA"/>
    <s v="MAYAGÜEZ"/>
    <s v="Talleres Artesanales Plaza"/>
    <x v="15"/>
    <n v="1440"/>
    <n v="0"/>
    <n v="1440"/>
    <n v="0"/>
    <s v="Programa de apoyo a empresarios minoritarios"/>
  </r>
  <r>
    <s v="FIE60-2024-2025-0036"/>
    <s v="2025-000420"/>
    <x v="208"/>
    <d v="2024-12-26T00:00:00"/>
    <d v="2025-12-25T00:00:00"/>
    <s v="Contract"/>
    <s v="M&amp;R ACCOUNTANTS LLC H/N/C PROFESSIONAL FINANCIAL GROUP"/>
    <s v="AGUADILLA"/>
    <s v="Otros"/>
    <x v="20"/>
    <n v="5000"/>
    <n v="0"/>
    <m/>
    <n v="5000"/>
    <s v="Programa de apoyo a empresarios minoritarios"/>
  </r>
  <r>
    <s v="FIE60-2024-2025-0036"/>
    <s v="2025-000421"/>
    <x v="208"/>
    <d v="2024-12-26T00:00:00"/>
    <d v="2025-12-25T00:00:00"/>
    <s v="Contract"/>
    <s v="CARLOS LEBRON H/N/C OPTIMUM THERAPY "/>
    <s v="AGUADILLA"/>
    <s v="Otros"/>
    <x v="20"/>
    <n v="10000"/>
    <n v="0"/>
    <n v="3600"/>
    <n v="6400"/>
    <s v="Programa de apoyo a empresarios minoritarios"/>
  </r>
  <r>
    <s v="FIE60-2024-2025-0036"/>
    <s v="2025-000419"/>
    <x v="208"/>
    <d v="2024-12-26T00:00:00"/>
    <d v="2025-12-25T00:00:00"/>
    <s v="Contract"/>
    <s v="RLR FOOD SERVICE INC H/N/C LUIS PIZZA PALACE"/>
    <s v="SAN JUAN"/>
    <s v="Otros"/>
    <x v="20"/>
    <n v="10000"/>
    <n v="0"/>
    <m/>
    <n v="10000"/>
    <s v="Programa de apoyo a empresarios minoritarios"/>
  </r>
  <r>
    <s v="FIE60-2024-2025-0165"/>
    <s v="2025-000413"/>
    <x v="208"/>
    <d v="2024-12-26T00:00:00"/>
    <d v="2025-09-30T00:00:00"/>
    <s v="Contract"/>
    <s v="EMPRESAS BORIQUE, INC."/>
    <s v="MAYAGUEZ"/>
    <s v="Incentivo para Manufactura de Muebles y Textiles - Ley 8"/>
    <x v="33"/>
    <n v="56000"/>
    <n v="0"/>
    <n v="35160"/>
    <n v="20840"/>
    <s v="Programa de apoyo a empresarios minoritarios"/>
  </r>
  <r>
    <s v="FIE60-2024-2025-0175"/>
    <s v="2025-000417"/>
    <x v="209"/>
    <d v="2024-12-27T00:00:00"/>
    <d v="2025-09-30T00:00:00"/>
    <s v="Contract"/>
    <s v="HOGAREA, INC."/>
    <s v="CAGUAS"/>
    <s v="Incentivo para Manufactura de Muebles y Textiles - Ley 8"/>
    <x v="33"/>
    <n v="24000"/>
    <n v="0"/>
    <n v="8021"/>
    <n v="15979"/>
    <s v="Programa de apoyo a empresarios minoritarios"/>
  </r>
  <r>
    <s v="FIE60-2024-2025-0167"/>
    <s v="2025-000418"/>
    <x v="209"/>
    <d v="2024-12-27T00:00:00"/>
    <d v="2025-09-30T00:00:00"/>
    <s v="Contract"/>
    <s v="FE-RI CONSTRUCTION, INC."/>
    <s v="SAN JUAN"/>
    <s v="Incentivo para Manufactura de Muebles y Textiles - Ley 8"/>
    <x v="33"/>
    <n v="42000"/>
    <n v="0"/>
    <n v="26913"/>
    <n v="15087"/>
    <s v="Programa de apoyo a empresarios minoritarios"/>
  </r>
  <r>
    <s v="FIE60-2024-2025-0048"/>
    <s v="2025-000425"/>
    <x v="209"/>
    <d v="2024-12-27T00:00:00"/>
    <d v="2025-05-30T00:00:00"/>
    <s v="Contract"/>
    <s v="PARTO LLC"/>
    <s v="SAN JUAN"/>
    <s v="Película &quot;Parto&quot;"/>
    <x v="14"/>
    <n v="20000"/>
    <n v="0"/>
    <n v="10000"/>
    <n v="10000"/>
    <m/>
  </r>
  <r>
    <s v="FIE60-2024-2025-0035"/>
    <s v="2025-000430"/>
    <x v="209"/>
    <d v="2024-12-27T00:00:00"/>
    <d v="2028-12-31T00:00:00"/>
    <s v="Contract"/>
    <s v="ALEXIS J FERNANDEZ NIEVES"/>
    <s v="LAS PIEDRAS"/>
    <s v="Beca Teodoro Moscoso Mora"/>
    <x v="16"/>
    <n v="35000"/>
    <n v="0"/>
    <n v="5000"/>
    <n v="30000"/>
    <m/>
  </r>
  <r>
    <s v="FIE60-2024-2025-0035"/>
    <s v="2025-000429"/>
    <x v="209"/>
    <d v="2024-12-27T00:00:00"/>
    <d v="2026-12-31T00:00:00"/>
    <s v="Contract"/>
    <s v="KIAN LEE FOSTER ORTIZ"/>
    <s v="RÍO GRANDE"/>
    <s v="Beca Teodoro Moscoso Mora"/>
    <x v="16"/>
    <n v="15000"/>
    <n v="0"/>
    <n v="5000"/>
    <n v="10000"/>
    <m/>
  </r>
  <r>
    <s v="FIE60-2024-2025-0035"/>
    <s v="2025-000427"/>
    <x v="209"/>
    <d v="2024-12-27T00:00:00"/>
    <d v="2027-12-31T00:00:00"/>
    <s v="Contract"/>
    <s v="ZULEMARIA FELICIANO DELGADO"/>
    <s v="TOA BAJA"/>
    <s v="Beca Teodoro Moscoso Mora"/>
    <x v="16"/>
    <n v="25000"/>
    <n v="0"/>
    <n v="5000"/>
    <n v="20000"/>
    <m/>
  </r>
  <r>
    <s v="FIE60-2024-2025-0035"/>
    <s v="2025-000426"/>
    <x v="209"/>
    <d v="2024-12-27T00:00:00"/>
    <d v="2026-12-31T00:00:00"/>
    <s v="Contract"/>
    <s v="GONZALO F DEL RIO MONTESINOS"/>
    <s v="MAYAGUEZ"/>
    <s v="Beca Teodoro Moscoso Mora"/>
    <x v="16"/>
    <n v="20000"/>
    <n v="0"/>
    <n v="5000"/>
    <n v="15000"/>
    <m/>
  </r>
  <r>
    <s v="FIE60-2024-2025-0035"/>
    <s v="2025-000428"/>
    <x v="209"/>
    <d v="2024-12-27T00:00:00"/>
    <d v="2025-12-31T00:00:00"/>
    <s v="Contract"/>
    <s v="IRIS M GONZALEZ COLON"/>
    <s v="ARECIBO"/>
    <s v="Beca Teodoro Moscoso Mora"/>
    <x v="16"/>
    <n v="10000"/>
    <n v="0"/>
    <n v="5000"/>
    <n v="5000"/>
    <m/>
  </r>
  <r>
    <s v="FIE60-2024-2025-0035"/>
    <s v="2025-000432"/>
    <x v="209"/>
    <d v="2024-12-27T00:00:00"/>
    <d v="2028-12-31T00:00:00"/>
    <s v="Contract"/>
    <s v="JABES ROBLES MAÑÁN"/>
    <s v="ARECIBO"/>
    <s v="Beca Teodoro Moscoso Mora"/>
    <x v="16"/>
    <n v="35000"/>
    <n v="0"/>
    <m/>
    <n v="35000"/>
    <m/>
  </r>
  <r>
    <s v="FIE60-2024-2025-0035"/>
    <s v="2025-000438"/>
    <x v="210"/>
    <d v="2024-12-30T00:00:00"/>
    <d v="2026-12-31T00:00:00"/>
    <s v="Contract"/>
    <s v="JOARIS CORTÉS PÉREZ"/>
    <s v="TOA ALTA"/>
    <s v="Beca Teodoro Moscoso Mora"/>
    <x v="16"/>
    <n v="20000"/>
    <n v="0"/>
    <n v="5000"/>
    <n v="15000"/>
    <m/>
  </r>
  <r>
    <s v="FIE60-2024-2025-0035"/>
    <s v="2025-000434"/>
    <x v="210"/>
    <d v="2024-12-30T00:00:00"/>
    <d v="2028-12-31T00:00:00"/>
    <s v="Contract"/>
    <s v="JORGE R LABOY REIFKOHL"/>
    <s v="JUNCOS"/>
    <s v="Beca Teodoro Moscoso Mora"/>
    <x v="16"/>
    <n v="35000"/>
    <n v="0"/>
    <n v="5000"/>
    <n v="30000"/>
    <m/>
  </r>
  <r>
    <s v="FIE60-2024-2025-0035"/>
    <s v="2025-000439"/>
    <x v="210"/>
    <d v="2024-12-30T00:00:00"/>
    <d v="2026-12-31T00:00:00"/>
    <s v="Contract"/>
    <s v="ELYMAR POLANCO DOMINGUEZ"/>
    <s v="CANÓVANAS"/>
    <s v="Beca Teodoro Moscoso Mora"/>
    <x v="16"/>
    <n v="20000"/>
    <n v="0"/>
    <n v="5000"/>
    <n v="15000"/>
    <m/>
  </r>
  <r>
    <s v="FIE60-2024-2025-0035"/>
    <s v="2025-000437"/>
    <x v="210"/>
    <d v="2024-12-30T00:00:00"/>
    <d v="2026-12-31T00:00:00"/>
    <s v="Contract"/>
    <s v="CHRIS A MORALES COLON"/>
    <s v="CAROLINA"/>
    <s v="Beca Teodoro Moscoso Mora"/>
    <x v="16"/>
    <n v="20000"/>
    <n v="0"/>
    <n v="5000"/>
    <n v="15000"/>
    <m/>
  </r>
  <r>
    <s v="FIE60-2024-2025-0035"/>
    <s v="2025-000436"/>
    <x v="210"/>
    <d v="2024-12-30T00:00:00"/>
    <d v="2027-12-31T00:00:00"/>
    <s v="Contract"/>
    <s v="GERIAM NICOLE RUIZ BARRETO"/>
    <s v="SAN JUAN"/>
    <s v="Beca Teodoro Moscoso Mora"/>
    <x v="16"/>
    <n v="25000"/>
    <n v="0"/>
    <n v="5000"/>
    <n v="20000"/>
    <m/>
  </r>
  <r>
    <s v="FIE60-2024-2025-0192"/>
    <s v="2025-000444"/>
    <x v="211"/>
    <d v="2025-02-11T00:00:00"/>
    <d v="2031-02-10T00:00:00"/>
    <s v="Contract"/>
    <s v="MONTELLANO BREAD FACTORY INC"/>
    <s v="CAYEY"/>
    <s v="Maquinaria y Equipo"/>
    <x v="36"/>
    <n v="36000"/>
    <n v="0"/>
    <m/>
    <n v="36000"/>
    <n v="2.04"/>
  </r>
  <r>
    <s v="FIE60-2024-2025-0191"/>
    <s v="2025-000445"/>
    <x v="211"/>
    <d v="2025-02-11T00:00:00"/>
    <d v="2028-02-10T00:00:00"/>
    <s v="Contract"/>
    <s v="MONTELLANO BREAD FACTORY INC"/>
    <s v="CAYEY"/>
    <s v="Empleo Básico y localización"/>
    <x v="8"/>
    <n v="8250"/>
    <n v="0"/>
    <m/>
    <n v="8250"/>
    <n v="2.04"/>
  </r>
  <r>
    <s v="FIE60-2024-2025-0124"/>
    <s v="2025-000265-A"/>
    <x v="211"/>
    <d v="2025-02-11T00:00:00"/>
    <d v="2027-10-20T00:00:00"/>
    <s v="Contract"/>
    <s v="LITTLE THINGS LLC"/>
    <s v="BAYAMÓN"/>
    <s v="Maquinaria y Equipo"/>
    <x v="36"/>
    <n v="16680"/>
    <n v="0"/>
    <m/>
    <n v="16680"/>
    <n v="3.18"/>
  </r>
  <r>
    <s v="FIE60-2024-2025-0195"/>
    <s v="2025-000446"/>
    <x v="211"/>
    <d v="2025-02-11T00:00:00"/>
    <d v="2030-02-10T00:00:00"/>
    <s v="Contract"/>
    <s v="COPAN INDUSTRIES, INC."/>
    <s v="AGUADILLA"/>
    <s v="Mejoras de Infraestructura"/>
    <x v="9"/>
    <n v="4000000"/>
    <n v="0"/>
    <m/>
    <n v="4000000"/>
    <n v="4.67"/>
  </r>
  <r>
    <s v="FIE60-2024-2025-0143"/>
    <s v="2025-000442"/>
    <x v="211"/>
    <d v="2025-02-11T00:00:00"/>
    <d v="2030-02-10T00:00:00"/>
    <s v="Contract"/>
    <s v="ETHICON LLC"/>
    <s v="SAN LORENZO"/>
    <s v="Empleo Básico y localización"/>
    <x v="8"/>
    <n v="1740000"/>
    <n v="0"/>
    <m/>
    <n v="1740000"/>
    <n v="2.5499999999999998"/>
  </r>
  <r>
    <s v="FIE60-2024-2025-0144"/>
    <s v="2025-000443"/>
    <x v="211"/>
    <d v="2025-02-11T00:00:00"/>
    <d v="2030-02-10T00:00:00"/>
    <s v="Contract"/>
    <s v="ETHICON LLC"/>
    <s v="SAN LORENZO"/>
    <s v="Maquinaria y Equipo"/>
    <x v="36"/>
    <n v="18000000"/>
    <n v="0"/>
    <m/>
    <n v="18000000"/>
    <n v="2.5499999999999998"/>
  </r>
  <r>
    <s v="FIE60-2024-2025-0043"/>
    <s v="2025-000451"/>
    <x v="211"/>
    <d v="2025-02-11T00:00:00"/>
    <d v="2028-02-10T00:00:00"/>
    <s v="Contract"/>
    <s v="ARTURO ORTIZ CASTRO"/>
    <s v="GURABO"/>
    <s v="Incentivo para el Desarrollo de las Artesanías en PR"/>
    <x v="15"/>
    <n v="1000"/>
    <n v="0"/>
    <n v="948.71"/>
    <n v="51.289999999999964"/>
    <s v="wgonzalez@woodstudiopr.com"/>
  </r>
  <r>
    <s v="FIE60-2024-2025-0036"/>
    <s v="2025-000456"/>
    <x v="212"/>
    <d v="2025-02-12T00:00:00"/>
    <d v="2026-02-11T00:00:00"/>
    <s v="Contract"/>
    <s v="MARTA R. ROMAN RUIZ / LUSH BY BECKY"/>
    <s v="PONCE"/>
    <s v="Otros"/>
    <x v="20"/>
    <n v="4000"/>
    <n v="0"/>
    <m/>
    <n v="4000"/>
    <m/>
  </r>
  <r>
    <s v="FIE60-2024-2025-0036"/>
    <s v="2025-000457"/>
    <x v="212"/>
    <d v="2025-02-12T00:00:00"/>
    <d v="2026-02-11T00:00:00"/>
    <s v="Contract"/>
    <s v="TITAN GAMES CORP."/>
    <s v="CAGUAS"/>
    <s v="Otros"/>
    <x v="20"/>
    <n v="10000"/>
    <n v="0"/>
    <n v="6614.4"/>
    <n v="3385.6000000000004"/>
    <m/>
  </r>
  <r>
    <s v="FIE60-2024-2025-0036"/>
    <s v="2025-000453"/>
    <x v="212"/>
    <d v="2025-02-12T00:00:00"/>
    <d v="2026-02-11T00:00:00"/>
    <s v="Contract"/>
    <s v="VILLA DESIGN"/>
    <s v="AGUADA"/>
    <s v="Otros"/>
    <x v="20"/>
    <n v="10000"/>
    <n v="0"/>
    <m/>
    <n v="10000"/>
    <m/>
  </r>
  <r>
    <s v="FIE60-2024-2025-0036"/>
    <s v="2025-000470"/>
    <x v="212"/>
    <d v="2025-02-12T00:00:00"/>
    <d v="2026-02-11T00:00:00"/>
    <s v="Contract"/>
    <s v="STELLA DI MARIE"/>
    <s v="MAYAGÜEZ"/>
    <s v="Otros"/>
    <x v="20"/>
    <n v="6000"/>
    <n v="0"/>
    <m/>
    <n v="6000"/>
    <m/>
  </r>
  <r>
    <s v="FIE60-2024-2025-0179"/>
    <s v="2025-000448"/>
    <x v="212"/>
    <d v="2025-02-12T00:00:00"/>
    <d v="2025-09-30T00:00:00"/>
    <s v="Contract"/>
    <s v="LA POLA, LLC"/>
    <s v="SAN JUAN"/>
    <s v="Incentivo para Manufactura de Muebles y Textiles - Ley 8"/>
    <x v="33"/>
    <n v="8500"/>
    <n v="0"/>
    <n v="5209"/>
    <n v="3291"/>
    <m/>
  </r>
  <r>
    <s v="FIE60-2024-2025-0177"/>
    <s v="2025-000449"/>
    <x v="212"/>
    <d v="2025-02-12T00:00:00"/>
    <d v="2025-09-30T00:00:00"/>
    <s v="Contract"/>
    <s v="PURE PEDIC LLC"/>
    <s v="TRUJILLO ALTO"/>
    <s v="Incentivo para Manufactura de Muebles y Textiles - Ley 8"/>
    <x v="33"/>
    <n v="46000"/>
    <n v="0"/>
    <n v="41050"/>
    <n v="4950"/>
    <s v="Programa de apoyo a empresarios minoritarios"/>
  </r>
  <r>
    <s v="FIE60-2024-2025-0170"/>
    <s v="2025-000447"/>
    <x v="212"/>
    <d v="2025-02-12T00:00:00"/>
    <d v="2025-09-30T00:00:00"/>
    <s v="Contract"/>
    <s v="COMERCIAL TORO, INC. DBA TOPES TORO"/>
    <s v="CABO ROJO"/>
    <s v="Incentivo para Manufactura de Muebles y Textiles - Ley 8"/>
    <x v="33"/>
    <n v="5000"/>
    <n v="0"/>
    <n v="1908"/>
    <n v="3092"/>
    <s v="Programa de apoyo a empresarios minoritarios"/>
  </r>
  <r>
    <s v="FIE60-2024-2025-0036"/>
    <s v="2025-000454"/>
    <x v="212"/>
    <d v="2025-02-12T00:00:00"/>
    <d v="2026-02-11T00:00:00"/>
    <s v="Contract"/>
    <s v="Orquid LLC H/N/C Marsella Rest."/>
    <s v="SAN JUAN"/>
    <s v="Otros"/>
    <x v="20"/>
    <n v="10000"/>
    <n v="0"/>
    <n v="1524"/>
    <n v="8476"/>
    <m/>
  </r>
  <r>
    <s v="FIE60-2024-2025-0036"/>
    <s v="2025-000476"/>
    <x v="212"/>
    <d v="2025-02-12T00:00:00"/>
    <d v="2026-02-11T00:00:00"/>
    <s v="Contract"/>
    <s v="VÍCTOR R. RIVERA RIVERA  HNC BABY CITY MINI MARKET"/>
    <s v="TOA ALTA"/>
    <s v="Otros"/>
    <x v="20"/>
    <n v="10000"/>
    <n v="0"/>
    <m/>
    <n v="10000"/>
    <m/>
  </r>
  <r>
    <s v="FIE60-2024-2025-0036"/>
    <s v="2025-000475"/>
    <x v="212"/>
    <d v="2025-02-12T00:00:00"/>
    <d v="2026-02-11T00:00:00"/>
    <s v="Contract"/>
    <s v="TIBIRI TABARA HOLDINGS, LLC"/>
    <s v="CABO ROJO"/>
    <s v="Otros"/>
    <x v="20"/>
    <n v="10000"/>
    <n v="0"/>
    <m/>
    <n v="10000"/>
    <m/>
  </r>
  <r>
    <s v="FIE60-2024-2025-0036"/>
    <s v="2025-000468"/>
    <x v="212"/>
    <d v="2025-02-12T00:00:00"/>
    <d v="2026-02-11T00:00:00"/>
    <s v="Contract"/>
    <s v="WASH &amp; WEAR DRY CLEANING INC"/>
    <s v="CAGUAS"/>
    <s v="Otros"/>
    <x v="20"/>
    <n v="10000"/>
    <n v="10000"/>
    <m/>
    <n v="0"/>
    <m/>
  </r>
  <r>
    <s v="FIE60-2024-2025-0036"/>
    <s v="2025-000459"/>
    <x v="212"/>
    <d v="2025-02-12T00:00:00"/>
    <d v="2026-02-11T00:00:00"/>
    <s v="Contract"/>
    <s v="GUILLERMO ALVAREZ CALDERON "/>
    <s v="AGUADILLA"/>
    <s v="Otros"/>
    <x v="20"/>
    <n v="10000"/>
    <n v="0"/>
    <m/>
    <n v="10000"/>
    <m/>
  </r>
  <r>
    <s v="FIE60-2024-2025-0036"/>
    <s v="2025-000473"/>
    <x v="212"/>
    <d v="2025-02-12T00:00:00"/>
    <d v="2026-02-11T00:00:00"/>
    <s v="Contract"/>
    <s v="LILLIAM MARTINEZ H/N/C TAXES LR"/>
    <s v="JUANA DIAZ"/>
    <s v="Otros"/>
    <x v="20"/>
    <n v="5465"/>
    <n v="0"/>
    <m/>
    <n v="5465"/>
    <m/>
  </r>
  <r>
    <s v="FIE60-2024-2025-0036"/>
    <s v="2025-000474"/>
    <x v="212"/>
    <d v="2025-02-12T00:00:00"/>
    <d v="2026-02-11T00:00:00"/>
    <s v="Contract"/>
    <s v="EMPRESAS VALDES &amp; CEDENO II LLC H/N/C EL 69"/>
    <s v="PONCE"/>
    <s v="Otros"/>
    <x v="20"/>
    <n v="10000"/>
    <n v="0"/>
    <m/>
    <n v="10000"/>
    <m/>
  </r>
  <r>
    <s v="FIE60-2024-2025-0036"/>
    <s v="2025-000466"/>
    <x v="212"/>
    <d v="2025-02-12T00:00:00"/>
    <d v="2026-02-11T00:00:00"/>
    <s v="Contract"/>
    <s v="ACAIZ LLC H/N/C AMOR Y SAL"/>
    <s v="SAN JUAN"/>
    <s v="Otros"/>
    <x v="20"/>
    <n v="10000"/>
    <m/>
    <n v="1717.35"/>
    <n v="8282.65"/>
    <m/>
  </r>
  <r>
    <s v="FIE60-2024-2025-0036"/>
    <s v="2025-000461"/>
    <x v="212"/>
    <d v="2025-02-12T00:00:00"/>
    <d v="2026-02-11T00:00:00"/>
    <s v="Contract"/>
    <s v="ORTIZ OPTOMETRIC CARE LLC"/>
    <s v="PONCE"/>
    <s v="Otros"/>
    <x v="20"/>
    <n v="10000"/>
    <n v="0"/>
    <m/>
    <n v="10000"/>
    <m/>
  </r>
  <r>
    <s v="FIE60-2024-2025-0036"/>
    <s v="2025-000458"/>
    <x v="212"/>
    <d v="2025-02-12T00:00:00"/>
    <d v="2026-02-11T00:00:00"/>
    <s v="Contract"/>
    <s v="HRCOM INC"/>
    <s v="BARRANQUITAS"/>
    <s v="Otros"/>
    <x v="20"/>
    <n v="10000"/>
    <n v="0"/>
    <m/>
    <n v="10000"/>
    <m/>
  </r>
  <r>
    <s v="FIE60-2024-2025-0036"/>
    <s v="2025-000460"/>
    <x v="212"/>
    <d v="2025-02-12T00:00:00"/>
    <d v="2026-02-11T00:00:00"/>
    <s v="Contract"/>
    <s v="EIRAMYL SALON &amp; SPA"/>
    <s v="HATILLO"/>
    <s v="Otros"/>
    <x v="20"/>
    <n v="8770"/>
    <n v="0"/>
    <m/>
    <n v="8770"/>
    <m/>
  </r>
  <r>
    <s v="FIE60-2024-2025-0036"/>
    <s v="2025-000455"/>
    <x v="212"/>
    <d v="2025-02-12T00:00:00"/>
    <d v="2026-02-11T00:00:00"/>
    <s v="Contract"/>
    <s v="HAPPY CREATIONS BAKERY LLC HNC DULCE MASA"/>
    <s v="FLORIDA"/>
    <s v="Otros"/>
    <x v="20"/>
    <n v="10000"/>
    <n v="0"/>
    <m/>
    <n v="10000"/>
    <m/>
  </r>
  <r>
    <s v="FIE60-2024-2025-0036"/>
    <s v="2025-000463"/>
    <x v="212"/>
    <d v="2025-02-12T00:00:00"/>
    <d v="2026-02-11T00:00:00"/>
    <s v="Contract"/>
    <s v="LA FUENTE LUNCH BREAK CORP"/>
    <s v="CAGUAS"/>
    <s v="Otros"/>
    <x v="20"/>
    <n v="10000"/>
    <n v="0"/>
    <m/>
    <n v="10000"/>
    <m/>
  </r>
  <r>
    <s v="FIE60-2024-2025-0036"/>
    <s v="2025-000462"/>
    <x v="212"/>
    <d v="2025-02-12T00:00:00"/>
    <d v="2026-02-11T00:00:00"/>
    <s v="Contract"/>
    <s v="NEXOS PROPOSAL AGENCY, LLC"/>
    <s v="QUEBRADILLAS"/>
    <s v="Otros"/>
    <x v="20"/>
    <n v="10000"/>
    <n v="0"/>
    <m/>
    <n v="10000"/>
    <m/>
  </r>
  <r>
    <s v="FIE60-2024-2025-0036"/>
    <s v="2025-000472"/>
    <x v="212"/>
    <d v="2025-02-12T00:00:00"/>
    <d v="2026-02-11T00:00:00"/>
    <s v="Contract"/>
    <s v="HGR PARAMEDIC TRANSPORT, INC"/>
    <s v="HORMIGUEROS"/>
    <s v="Otros"/>
    <x v="20"/>
    <n v="10000"/>
    <n v="0"/>
    <m/>
    <n v="10000"/>
    <m/>
  </r>
  <r>
    <s v="FIE60-2024-2025-0036"/>
    <s v="2025-000467"/>
    <x v="212"/>
    <d v="2025-02-12T00:00:00"/>
    <d v="2026-02-11T00:00:00"/>
    <s v="Contract"/>
    <s v="LUZ D. ROBLES H/N/C FARMACIA YADANIA"/>
    <s v="CAMUY"/>
    <s v="Otros"/>
    <x v="20"/>
    <n v="10000"/>
    <n v="0"/>
    <m/>
    <n v="10000"/>
    <m/>
  </r>
  <r>
    <s v="FIE60-2024-2025-0036"/>
    <s v="2025-000471"/>
    <x v="212"/>
    <d v="2025-02-12T00:00:00"/>
    <d v="2026-02-11T00:00:00"/>
    <s v="Contract"/>
    <s v="ANDANZA, INC"/>
    <s v="SAN JUAN"/>
    <s v="Otros"/>
    <x v="20"/>
    <n v="10000"/>
    <n v="0"/>
    <m/>
    <n v="10000"/>
    <m/>
  </r>
  <r>
    <s v="FIE60-2024-2025-0036"/>
    <s v="2025-000469"/>
    <x v="212"/>
    <d v="2025-02-12T00:00:00"/>
    <d v="2026-02-11T00:00:00"/>
    <s v="Contract"/>
    <s v="BRAIN MAFIA LLC H/N/C BRAIN LIBRE"/>
    <s v="SAN JUAN"/>
    <s v="Otros"/>
    <x v="20"/>
    <n v="10000"/>
    <n v="0"/>
    <n v="1450"/>
    <n v="8550"/>
    <m/>
  </r>
  <r>
    <s v="FIE60-2024-2025-0036"/>
    <s v="2025-000465"/>
    <x v="212"/>
    <d v="2025-02-12T00:00:00"/>
    <d v="2026-02-11T00:00:00"/>
    <s v="Contract"/>
    <s v="AVILES &amp; CABAN CELLULAR CORP"/>
    <s v="QUEBRADILLAS"/>
    <s v="Otros"/>
    <x v="20"/>
    <n v="6500"/>
    <n v="0"/>
    <m/>
    <n v="6500"/>
    <m/>
  </r>
  <r>
    <s v="FIE60-2024-2025-0036"/>
    <s v="2025-000464"/>
    <x v="212"/>
    <d v="2025-02-12T00:00:00"/>
    <d v="2026-02-11T00:00:00"/>
    <s v="Contract"/>
    <s v="POLLORIQUEÑO BBQ"/>
    <s v="SAN LORENZO"/>
    <s v="Otros"/>
    <x v="20"/>
    <n v="5000"/>
    <n v="0"/>
    <m/>
    <n v="5000"/>
    <m/>
  </r>
  <r>
    <s v="FIE60-2024-2025-0044"/>
    <s v="2025-000479"/>
    <x v="213"/>
    <d v="2025-02-14T00:00:00"/>
    <d v="2025-06-30T00:00:00"/>
    <s v="Contract"/>
    <s v="NORMA GOMEZ RODRIGUEZ"/>
    <s v="SABANA GRANDE"/>
    <s v="Incentivo para el Desarrollo de las Artesanías en PR"/>
    <x v="15"/>
    <n v="1440"/>
    <n v="0"/>
    <m/>
    <n v="1440"/>
    <m/>
  </r>
  <r>
    <s v="FIE60-2024-2025-0044"/>
    <s v="2025-000482"/>
    <x v="214"/>
    <d v="2025-02-24T00:00:00"/>
    <d v="2025-06-30T00:00:00"/>
    <s v="Contract"/>
    <s v="MARIA A. MENDEZ SISCO"/>
    <s v="JUNCOS"/>
    <s v="Incentivo para el Desarrollo de las Artesanías en PR"/>
    <x v="15"/>
    <n v="1440"/>
    <n v="0"/>
    <m/>
    <n v="1440"/>
    <m/>
  </r>
  <r>
    <s v="FIE60-2024-2025-0044"/>
    <s v="2025-00044"/>
    <x v="214"/>
    <d v="2025-02-24T00:00:00"/>
    <d v="2025-06-30T00:00:00"/>
    <s v="Contract"/>
    <s v="OLGA R. COSTA ALFARO"/>
    <s v="CAGUAS"/>
    <s v="Incentivo para el Desarrollo de las Artesanías en PR"/>
    <x v="15"/>
    <n v="1440"/>
    <n v="0"/>
    <m/>
    <n v="1440"/>
    <m/>
  </r>
  <r>
    <s v="FIE60-2024-2025-0044"/>
    <s v="2025-000481"/>
    <x v="214"/>
    <d v="2025-02-24T00:00:00"/>
    <d v="2025-06-30T00:00:00"/>
    <s v="Contract"/>
    <s v="MAYRA J. FALCON ALVAREZ"/>
    <s v="VEGA BAJA"/>
    <s v="Incentivo para el Desarrollo de las Artesanías en PR"/>
    <x v="15"/>
    <n v="1440"/>
    <n v="0"/>
    <m/>
    <n v="1440"/>
    <m/>
  </r>
  <r>
    <s v="FIE60-2024-2025-0044"/>
    <s v="2025-000485"/>
    <x v="214"/>
    <d v="2025-02-24T00:00:00"/>
    <d v="2025-06-30T00:00:00"/>
    <s v="Contract"/>
    <s v="LISEIDA RONDON REYMUNDI"/>
    <s v="GUAYNABO"/>
    <s v="Incentivo para el Desarrollo de las Artesanías en PR"/>
    <x v="15"/>
    <n v="1440"/>
    <n v="0"/>
    <m/>
    <n v="1440"/>
    <m/>
  </r>
  <r>
    <s v="FIE60-2024-2025-0044"/>
    <s v="2025-000483"/>
    <x v="214"/>
    <d v="2025-02-24T00:00:00"/>
    <d v="2025-06-30T00:00:00"/>
    <s v="Contract"/>
    <s v="CENTRO COMUNITARIO RVDA INES J FIGUEROA"/>
    <s v="SAN JUAN"/>
    <s v="Incentivo para el Desarrollo de las Artesanías en PR"/>
    <x v="15"/>
    <n v="2880"/>
    <n v="0"/>
    <n v="2880"/>
    <n v="0"/>
    <m/>
  </r>
  <r>
    <s v="FIE60-2024-2025-0044"/>
    <s v="2025-000492"/>
    <x v="215"/>
    <d v="2024-02-25T00:00:00"/>
    <d v="2025-06-30T00:00:00"/>
    <s v="Contract"/>
    <s v="IVETTE SANTIAGO NEGRON"/>
    <s v="LAS PIEDRAS"/>
    <s v="Incentivo para el Desarrollo de las Artesanías en PR"/>
    <x v="15"/>
    <n v="1440"/>
    <n v="0"/>
    <m/>
    <n v="1440"/>
    <m/>
  </r>
  <r>
    <s v="FIE60-2024-2025-0044"/>
    <s v="2025-000486"/>
    <x v="215"/>
    <d v="2025-02-25T00:00:00"/>
    <d v="3025-06-30T00:00:00"/>
    <s v="Contract"/>
    <s v="MOISES TOLLINCHI PADILLA"/>
    <s v="SAN JUAN"/>
    <s v="Incentivo para el Desarrollo de las Artesanías en PR"/>
    <x v="15"/>
    <n v="1440"/>
    <n v="0"/>
    <m/>
    <n v="1440"/>
    <m/>
  </r>
  <r>
    <s v="FIE60-2024-2025-0035"/>
    <s v="2025-000491"/>
    <x v="215"/>
    <d v="2025-02-25T00:00:00"/>
    <d v="2026-06-30T00:00:00"/>
    <s v="Contract"/>
    <s v="FABIAN ANDRES GOMEZ"/>
    <s v="ARECIBO"/>
    <s v="Beca Teodoro Moscoso Mora"/>
    <x v="16"/>
    <n v="20000"/>
    <n v="0"/>
    <n v="5000"/>
    <n v="15000"/>
    <m/>
  </r>
  <r>
    <s v="FIE60-2024-2025-0036"/>
    <s v="2025-000496"/>
    <x v="216"/>
    <d v="2025-02-26T00:00:00"/>
    <d v="2026-02-25T00:00:00"/>
    <s v="Contract"/>
    <s v="BILINGUAL DIETITIAN"/>
    <s v="MAYAGÜEZ"/>
    <s v="Otros"/>
    <x v="20"/>
    <n v="10000"/>
    <n v="0"/>
    <m/>
    <n v="10000"/>
    <m/>
  </r>
  <r>
    <s v="FIE60-2024-2025-0036"/>
    <s v="2025-000494"/>
    <x v="216"/>
    <d v="2025-02-26T00:00:00"/>
    <d v="2026-02-25T00:00:00"/>
    <s v="Contract"/>
    <s v="TIERRA AROMATICA LLC"/>
    <s v="LAS MARIAS"/>
    <s v="Otros"/>
    <x v="20"/>
    <n v="5000"/>
    <n v="0"/>
    <m/>
    <n v="5000"/>
    <m/>
  </r>
  <r>
    <s v="FIE60-2024-2025-0036"/>
    <s v="2025-000495"/>
    <x v="216"/>
    <d v="2025-02-26T00:00:00"/>
    <d v="2026-02-25T00:00:00"/>
    <s v="Contract"/>
    <s v="D &amp; P H/N/C FARMACIA LA BOTICA"/>
    <s v="MAYAGÜEZ"/>
    <s v="Otros"/>
    <x v="20"/>
    <n v="10000"/>
    <n v="0"/>
    <m/>
    <n v="10000"/>
    <m/>
  </r>
  <r>
    <s v="FIE60-2024-2025-0036"/>
    <s v="2025-000499"/>
    <x v="217"/>
    <d v="2025-02-27T00:00:00"/>
    <d v="2026-02-26T00:00:00"/>
    <s v="Contract"/>
    <s v="ALEXIS J ROLDAN H/N/C VITAL HOME CARE"/>
    <s v="YABUCOA"/>
    <s v="Otros"/>
    <x v="20"/>
    <n v="10000"/>
    <n v="0"/>
    <n v="1097.5"/>
    <n v="8902.5"/>
    <m/>
  </r>
  <r>
    <s v="FIE60-2024-2025-0036"/>
    <s v="2025-000497"/>
    <x v="217"/>
    <d v="2025-02-27T00:00:00"/>
    <d v="2026-02-26T00:00:00"/>
    <s v="Contract"/>
    <s v="ASIEL LLC"/>
    <s v="VEGA BAJA"/>
    <s v="Otros"/>
    <x v="20"/>
    <n v="5000"/>
    <n v="0"/>
    <m/>
    <n v="5000"/>
    <m/>
  </r>
  <r>
    <s v="FIE60-2024-2025-0036"/>
    <s v="2025-000516"/>
    <x v="217"/>
    <d v="2025-02-27T00:00:00"/>
    <d v="2026-02-26T00:00:00"/>
    <s v="Contract"/>
    <s v="FAST LLC"/>
    <s v="FLORIDA"/>
    <s v="Otros"/>
    <x v="20"/>
    <n v="4200"/>
    <n v="0"/>
    <m/>
    <n v="4200"/>
    <m/>
  </r>
  <r>
    <s v="FIE60-2024-2025-0035"/>
    <s v="2025-000511"/>
    <x v="217"/>
    <d v="2025-02-27T00:00:00"/>
    <d v="2028-12-31T00:00:00"/>
    <s v="Contract"/>
    <s v="GABRIEL A MADERA SANTIAGO"/>
    <s v="BAYAMÓN"/>
    <s v="Beca Teodoro Moscoso Mora"/>
    <x v="16"/>
    <n v="40000"/>
    <n v="0"/>
    <n v="5000"/>
    <n v="35000"/>
    <m/>
  </r>
  <r>
    <s v="FIE60-2024-2025-0035"/>
    <s v="2025-000505"/>
    <x v="217"/>
    <d v="2025-02-27T00:00:00"/>
    <d v="2026-06-30T00:00:00"/>
    <s v="Contract"/>
    <s v="GABRIELA SANTIAGO RUIZ"/>
    <s v="SALINAS"/>
    <s v="Beca Teodoro Moscoso Mora"/>
    <x v="16"/>
    <n v="10000"/>
    <n v="0"/>
    <n v="5000"/>
    <n v="5000"/>
    <m/>
  </r>
  <r>
    <s v="FIE60-2024-2025-0035"/>
    <s v="2025-000502"/>
    <x v="217"/>
    <d v="2025-02-27T00:00:00"/>
    <d v="2028-12-31T00:00:00"/>
    <s v="Contract"/>
    <s v="ALIEK O MEDINA SCOTT"/>
    <s v="MAUNABO"/>
    <s v="Beca Teodoro Moscoso Mora"/>
    <x v="16"/>
    <n v="35000"/>
    <n v="0"/>
    <n v="5000"/>
    <n v="30000"/>
    <m/>
  </r>
  <r>
    <s v="FIE60-2024-2025-0035"/>
    <s v="2025-000509"/>
    <x v="217"/>
    <d v="2025-02-27T00:00:00"/>
    <d v="2025-12-31T00:00:00"/>
    <s v="Contract"/>
    <s v="ANA S FIGUEROA NAVARRO"/>
    <s v="CAROLINA"/>
    <s v="Beca Teodoro Moscoso Mora"/>
    <x v="16"/>
    <n v="5000"/>
    <n v="0"/>
    <n v="5000"/>
    <n v="0"/>
    <m/>
  </r>
  <r>
    <s v="FIE60-2024-2025-0035"/>
    <s v="2025-000503"/>
    <x v="217"/>
    <d v="2025-02-27T00:00:00"/>
    <d v="2026-12-31T00:00:00"/>
    <s v="Contract"/>
    <s v="JOSUE M IRIZARRY BREBAN"/>
    <s v="PONCE"/>
    <s v="Beca Teodoro Moscoso Mora"/>
    <x v="16"/>
    <n v="10000"/>
    <n v="0"/>
    <n v="5000"/>
    <n v="5000"/>
    <m/>
  </r>
  <r>
    <s v="FIE60-2024-2025-0035"/>
    <s v="2025-000506"/>
    <x v="217"/>
    <d v="2025-02-27T00:00:00"/>
    <d v="2028-12-31T00:00:00"/>
    <s v="Contract"/>
    <s v="GIANCARLO R SANCHEZ CASTRO"/>
    <s v="BAYAMÓN"/>
    <s v="Beca Teodoro Moscoso Mora"/>
    <x v="16"/>
    <n v="35000"/>
    <n v="0"/>
    <n v="5000"/>
    <n v="30000"/>
    <m/>
  </r>
  <r>
    <s v="FIE60-2024-2025-0035"/>
    <s v="2025-000510"/>
    <x v="217"/>
    <d v="2025-02-27T00:00:00"/>
    <d v="2027-12-31T00:00:00"/>
    <s v="Contract"/>
    <s v="KYLIE RUIZ FELICIANO"/>
    <s v="LAS MARIAS"/>
    <s v="Beca Teodoro Moscoso Mora"/>
    <x v="16"/>
    <n v="30000"/>
    <n v="0"/>
    <n v="5000"/>
    <n v="25000"/>
    <m/>
  </r>
  <r>
    <s v="FIE60-2024-2025-0035"/>
    <s v="2025-000504"/>
    <x v="217"/>
    <d v="2025-02-27T00:00:00"/>
    <d v="2026-06-30T00:00:00"/>
    <s v="Contract"/>
    <s v="MARIALEXANDRA ADDARICH FIGUEROA"/>
    <s v="CAROLINA"/>
    <s v="Beca Teodoro Moscoso Mora"/>
    <x v="16"/>
    <n v="25000"/>
    <n v="0"/>
    <n v="5000"/>
    <n v="20000"/>
    <m/>
  </r>
  <r>
    <s v="FIE60-2024-2025-0035"/>
    <s v="2025-000508"/>
    <x v="217"/>
    <d v="2025-02-27T00:00:00"/>
    <d v="2026-12-31T00:00:00"/>
    <s v="Contract"/>
    <s v="ALBERTO E ALFONSO GARCIA"/>
    <s v="TOA ALTA"/>
    <s v="Beca Teodoro Moscoso Mora"/>
    <x v="16"/>
    <n v="20000"/>
    <n v="0"/>
    <n v="5000"/>
    <n v="15000"/>
    <m/>
  </r>
  <r>
    <s v="FIE60-2024-2025-0044"/>
    <s v="2025-000498"/>
    <x v="217"/>
    <d v="2025-02-27T00:00:00"/>
    <d v="2025-06-30T00:00:00"/>
    <s v="Contract"/>
    <s v="ISABEL QUINONES MARTIN"/>
    <s v="SAN JUAN"/>
    <s v="Incentivo para el Desarrollo de las Artesanías en PR"/>
    <x v="15"/>
    <n v="1440"/>
    <n v="0"/>
    <m/>
    <n v="1440"/>
    <m/>
  </r>
  <r>
    <s v="FIE60-2024-2025-0044"/>
    <s v="2025-000514"/>
    <x v="217"/>
    <d v="2025-02-27T00:00:00"/>
    <d v="2025-06-30T00:00:00"/>
    <s v="Contract"/>
    <s v="BRENDALIS RODRIGUEZ TORRES "/>
    <s v="PONCE"/>
    <s v="Incentivo para el Desarrollo de las Artesanías en PR"/>
    <x v="15"/>
    <n v="1440"/>
    <n v="0"/>
    <m/>
    <n v="1440"/>
    <m/>
  </r>
  <r>
    <s v="FIE60-2024-2025-0044"/>
    <s v="2025-000507"/>
    <x v="217"/>
    <d v="2025-02-27T00:00:00"/>
    <d v="2025-06-30T00:00:00"/>
    <s v="Contract"/>
    <s v="JASMINE RIVERA TORRES"/>
    <s v="TOA ALTA"/>
    <s v="Incentivo para el Desarrollo de las Artesanías en PR"/>
    <x v="15"/>
    <n v="1440"/>
    <n v="0"/>
    <m/>
    <n v="1440"/>
    <m/>
  </r>
  <r>
    <s v="FIE60-2024-2025-0044"/>
    <s v="2025-000512"/>
    <x v="217"/>
    <d v="2025-02-27T00:00:00"/>
    <d v="2025-06-30T00:00:00"/>
    <s v="Contract"/>
    <s v="RIVERA ORTIZ, ANA W. "/>
    <s v="VILLALBA"/>
    <s v="Incentivo para el Desarrollo de las Artesanías en PR"/>
    <x v="15"/>
    <n v="1440"/>
    <n v="0"/>
    <m/>
    <n v="1440"/>
    <m/>
  </r>
  <r>
    <s v="FIE60-2024-2025-0044"/>
    <s v="2025-000513"/>
    <x v="217"/>
    <d v="2025-02-27T00:00:00"/>
    <d v="2025-06-30T00:00:00"/>
    <s v="Contract"/>
    <s v="RIOS GARCIA, MARITSSA "/>
    <s v="GURABO"/>
    <s v="Incentivo para el Desarrollo de las Artesanías en PR"/>
    <x v="15"/>
    <n v="1440"/>
    <n v="0"/>
    <m/>
    <n v="1440"/>
    <m/>
  </r>
  <r>
    <s v="FIE60-2024-2025-0034"/>
    <s v="2025-000249"/>
    <x v="181"/>
    <d v="2024-10-11T00:00:00"/>
    <d v="2024-12-31T00:00:00"/>
    <s v="Cancelled"/>
    <s v="ANA A. QUINTERO SANTIAGO"/>
    <s v="SAN JUAN"/>
    <s v="Servicios legales"/>
    <x v="16"/>
    <n v="33600"/>
    <n v="33600"/>
    <n v="0"/>
    <n v="0"/>
    <s v="Programa de apoyo a empresarios minoritarios.  Se canceló conforme a correo electrónico del 6 de febrerode 2025."/>
  </r>
  <r>
    <s v="FIE60-2024-2025-0032"/>
    <s v="2025-000245"/>
    <x v="218"/>
    <d v="2024-09-23T00:00:00"/>
    <d v="2024-12-31T00:00:00"/>
    <s v="Contract"/>
    <s v="FUNDACION SILA M. CALDERON, INC."/>
    <s v="SAN JUAN"/>
    <s v="Centros de Emprendimientos para la Mujer"/>
    <x v="30"/>
    <n v="25000"/>
    <n v="0"/>
    <n v="25000"/>
    <n v="0"/>
    <s v="Auspicio"/>
  </r>
  <r>
    <s v="FIE60-2024-2025-0044"/>
    <s v="2025-000163"/>
    <x v="164"/>
    <d v="2024-08-30T00:00:00"/>
    <d v="2024-12-31T00:00:00"/>
    <s v="Contract"/>
    <s v="YANIREE OLMEDA ALEJANDRO"/>
    <s v="HUMACAO"/>
    <s v="Escuela taller de artesanías, Taller en Toa Baja"/>
    <x v="15"/>
    <n v="1440"/>
    <n v="0"/>
    <n v="1440"/>
    <n v="0"/>
    <s v="Programa de apoyo a empresarios minoritarios"/>
  </r>
  <r>
    <s v="FIE60-2024-2025-0048"/>
    <s v="2025-000402"/>
    <x v="219"/>
    <d v="2024-12-20T00:00:00"/>
    <d v="2025-06-30T00:00:00"/>
    <s v="Contract"/>
    <s v="DOBLE VIBRA ENTERTAINMENT, LLC"/>
    <s v="AGUAS BUENAS"/>
    <s v="Desarrollo de la Industria Cinematográfica"/>
    <x v="14"/>
    <n v="10000"/>
    <n v="0"/>
    <n v="5000"/>
    <n v="5000"/>
    <s v="Incentivo cinemascorto-PDIC"/>
  </r>
  <r>
    <s v="FIE60-2024-2025-0043"/>
    <s v="2025-000309"/>
    <x v="189"/>
    <d v="2024-11-13T00:00:00"/>
    <d v="2027-11-12T00:00:00"/>
    <s v="Contract"/>
    <s v="NAIDELIZ FELICIANO CANINO"/>
    <s v="AGUADILLA"/>
    <s v="Incentivo para el Desarrollo de las Artesanías en PR"/>
    <x v="15"/>
    <n v="1000"/>
    <n v="0"/>
    <n v="1000"/>
    <n v="0"/>
    <m/>
  </r>
  <r>
    <s v="FIE60-2024-2025-0043"/>
    <s v="2025-000319"/>
    <x v="184"/>
    <d v="2024-11-18T00:00:00"/>
    <d v="2027-11-17T00:00:00"/>
    <s v="Cancelled"/>
    <s v="WALDEMAR RODRÍGUEZ TORRES"/>
    <s v="CAGUAS"/>
    <s v="Incentivo para el Desarrollo de las Artesanías en PR"/>
    <x v="15"/>
    <n v="1000"/>
    <n v="0.56999999999999995"/>
    <n v="999.43"/>
    <n v="0"/>
    <s v="Balance cancelado solicitado por Finanzas el 04-10-2025"/>
  </r>
  <r>
    <s v="FIE60-2024-2025-0044"/>
    <s v="2025-000171"/>
    <x v="164"/>
    <d v="2024-08-30T00:00:00"/>
    <d v="2024-12-31T00:00:00"/>
    <s v="Contract"/>
    <s v="GABRIELA RAMOS ORTIZ"/>
    <s v="BAYAMÓN"/>
    <s v="Taller ofrecido en el Renglón Hilorama Escuela Guaynabo"/>
    <x v="15"/>
    <n v="1440"/>
    <n v="0"/>
    <n v="1440"/>
    <n v="0"/>
    <s v="Programa de apoyo a empresarios minoritarios"/>
  </r>
  <r>
    <s v="FIE60-2024-2025-0035"/>
    <s v="2025-000431"/>
    <x v="209"/>
    <s v="12/272024"/>
    <d v="2026-12-31T00:00:00"/>
    <s v="Contract"/>
    <s v="BRIAN J. CRUZ CASTRO"/>
    <s v="SAN JUAN"/>
    <s v="Beca Teodoro Moscoso Mora"/>
    <x v="16"/>
    <n v="20000"/>
    <n v="0"/>
    <n v="5000"/>
    <n v="15000"/>
    <s v="Programa de apoyo a empresarios minoritarios"/>
  </r>
  <r>
    <s v="FIE60-2024-2025-0044"/>
    <s v="2025-000515"/>
    <x v="217"/>
    <d v="2025-02-27T00:00:00"/>
    <d v="2025-06-30T00:00:00"/>
    <s v="Contract"/>
    <s v="CARMEN M. RENTA GUTIÉRREZ"/>
    <s v="SAN JUAN"/>
    <s v="Incentivo para el Desarrollo de las Artesanías en PR"/>
    <x v="15"/>
    <n v="1440"/>
    <n v="0"/>
    <n v="1440"/>
    <n v="0"/>
    <m/>
  </r>
  <r>
    <s v="FIE60-2024-2025-0194"/>
    <s v="2025-000553"/>
    <x v="220"/>
    <d v="2025-02-28T00:00:00"/>
    <d v="2025-09-30T00:00:00"/>
    <s v="Contract"/>
    <s v="GLOBAL MANUFACTURING, LLC"/>
    <s v="PONCE"/>
    <s v="Incentivo para Manufactura de Muebles y Textiles - Ley 8"/>
    <x v="33"/>
    <n v="150000"/>
    <n v="0"/>
    <n v="148794"/>
    <n v="1206"/>
    <s v="Programa de apoyo a empresarios minoritarios"/>
  </r>
  <r>
    <s v="FIE60-2024-2025-0130"/>
    <s v="2025-000279-A"/>
    <x v="221"/>
    <d v="2025-03-04T00:00:00"/>
    <d v="2026-10-23T00:00:00"/>
    <s v="Contract"/>
    <s v="PRODUCTOS PACHECO, INC."/>
    <s v="BAYAMÓN"/>
    <s v="Mejoras de Infraestructura"/>
    <x v="9"/>
    <n v="5352"/>
    <n v="0"/>
    <m/>
    <n v="5352"/>
    <m/>
  </r>
  <r>
    <s v="FIE60-2024-2025-0044"/>
    <s v="2025-000529"/>
    <x v="222"/>
    <d v="2025-03-06T00:00:00"/>
    <d v="2025-06-30T00:00:00"/>
    <s v="Contract"/>
    <s v="MUNICIPIO DE LAS MARIAS"/>
    <s v="LAS MARÍAS"/>
    <s v="Incentivo para el Desarrollo de las Artesanías en PR"/>
    <x v="15"/>
    <n v="4100"/>
    <n v="0"/>
    <m/>
    <n v="4100"/>
    <m/>
  </r>
  <r>
    <s v="FIE60-2024-2025-0044"/>
    <s v="2025-000532"/>
    <x v="222"/>
    <d v="2025-03-07T00:00:00"/>
    <d v="2025-06-30T00:00:00"/>
    <s v="Contract"/>
    <s v="JESÚS M. GANDÍA LÓPEZ"/>
    <s v="CAGUAS"/>
    <s v="Incentivo para el Desarrollo de las Artesanías en PR"/>
    <x v="15"/>
    <n v="1440"/>
    <n v="0"/>
    <m/>
    <n v="1440"/>
    <m/>
  </r>
  <r>
    <s v="FIE60-2024-2025-0044"/>
    <s v="2025-000544"/>
    <x v="222"/>
    <d v="2025-03-07T00:00:00"/>
    <d v="2025-06-30T00:00:00"/>
    <s v="Contract"/>
    <s v="NANCY E. MELENDEZ SOTO"/>
    <s v="LAS PIEDRAS"/>
    <s v="Incentivo para el Desarrollo de las Artesanías en PR"/>
    <x v="15"/>
    <n v="1440"/>
    <n v="0"/>
    <m/>
    <n v="1440"/>
    <m/>
  </r>
  <r>
    <s v="FIE60-2024-2025-0044"/>
    <s v="2025-000530"/>
    <x v="222"/>
    <d v="2025-03-07T00:00:00"/>
    <d v="2025-06-30T00:00:00"/>
    <s v="Contract"/>
    <s v="MUNICIPIO DE LAJAS"/>
    <s v="LAJAS"/>
    <s v="Incentivo para el Desarrollo de las Artesanías en PR"/>
    <x v="15"/>
    <n v="1160"/>
    <n v="0"/>
    <m/>
    <n v="1160"/>
    <m/>
  </r>
  <r>
    <s v="FIE60-2024-2025-0036"/>
    <s v="2025-000547"/>
    <x v="222"/>
    <d v="2025-03-07T00:00:00"/>
    <d v="2026-03-06T00:00:00"/>
    <s v="Contract"/>
    <s v="ALEXIS R APONTE ORTIZ H/N/C APONTE TRAVEL AGENCY"/>
    <s v="TOA ALTA"/>
    <s v="Otros"/>
    <x v="20"/>
    <n v="10000"/>
    <n v="0"/>
    <m/>
    <n v="10000"/>
    <m/>
  </r>
  <r>
    <s v="FIE60-2024-2025-0036"/>
    <s v="2025-000537"/>
    <x v="222"/>
    <d v="2025-03-07T00:00:00"/>
    <d v="2026-06-03T00:00:00"/>
    <s v="Contract"/>
    <s v="ALTURAS SUPERMARKET, INC"/>
    <s v="RÍO GRANDE"/>
    <s v="Otros"/>
    <x v="20"/>
    <n v="10000"/>
    <n v="0"/>
    <m/>
    <n v="10000"/>
    <m/>
  </r>
  <r>
    <s v="FIE60-2024-2025-0036"/>
    <s v="2025-000539"/>
    <x v="222"/>
    <d v="2025-03-07T00:00:00"/>
    <d v="2026-03-06T00:00:00"/>
    <s v="Contract"/>
    <s v="SUNTAN PR ESTHETIC LLC"/>
    <s v="SAN JUAN"/>
    <s v="Otros"/>
    <x v="20"/>
    <n v="5000"/>
    <n v="0"/>
    <m/>
    <n v="5000"/>
    <m/>
  </r>
  <r>
    <s v="FIE60-2024-2025-0036"/>
    <s v="2025-000541"/>
    <x v="222"/>
    <d v="2025-03-07T00:00:00"/>
    <d v="2026-09-06T00:00:00"/>
    <s v="Contract"/>
    <s v="DESIGN IN PUERTO RICO LLC"/>
    <s v="SAN JUAN"/>
    <s v="Otros"/>
    <x v="20"/>
    <n v="5000"/>
    <n v="0"/>
    <m/>
    <n v="5000"/>
    <m/>
  </r>
  <r>
    <s v="FIE60-2024-2025-0036"/>
    <s v="2025-000534"/>
    <x v="222"/>
    <d v="2025-03-07T00:00:00"/>
    <d v="2026-03-06T00:00:00"/>
    <s v="Contract"/>
    <s v="TS MICROBLANDING BROW &amp; MORE CORP"/>
    <s v="MOCA"/>
    <s v="Otros"/>
    <x v="20"/>
    <n v="5000"/>
    <n v="0"/>
    <m/>
    <n v="5000"/>
    <m/>
  </r>
  <r>
    <s v="FIE60-2024-2025-0199"/>
    <s v="2025-000552"/>
    <x v="222"/>
    <d v="2025-03-07T00:00:00"/>
    <d v="2030-03-06T00:00:00"/>
    <s v="Contract"/>
    <s v="PR FIVE PALLETS, LLC"/>
    <s v="GUAYNABO"/>
    <s v="Maquinaria y Equipo"/>
    <x v="36"/>
    <n v="150000"/>
    <n v="0"/>
    <m/>
    <n v="150000"/>
    <s v="ROI 360%"/>
  </r>
  <r>
    <s v="FIE60-2024-2025-0036"/>
    <s v="2025-000538"/>
    <x v="222"/>
    <d v="2025-03-07T00:00:00"/>
    <d v="2026-03-06T00:00:00"/>
    <s v="Contract"/>
    <s v="INPROMO LLC"/>
    <s v="SAN JUAN"/>
    <s v="Otros"/>
    <x v="20"/>
    <n v="10000"/>
    <n v="0"/>
    <n v="1000"/>
    <n v="9000"/>
    <m/>
  </r>
  <r>
    <s v="FIE60-2024-2025-0036"/>
    <s v="2025-000556"/>
    <x v="223"/>
    <d v="2025-03-08T00:00:00"/>
    <d v="2026-03-07T00:00:00"/>
    <s v="Contract"/>
    <s v="TERRAVERDE LLC"/>
    <s v="PONCE"/>
    <s v="Otros"/>
    <x v="20"/>
    <n v="10000"/>
    <n v="0"/>
    <m/>
    <n v="10000"/>
    <m/>
  </r>
  <r>
    <s v="FIE60-2024-2025-0036"/>
    <s v="2025-000550"/>
    <x v="223"/>
    <d v="2025-03-08T00:00:00"/>
    <d v="2026-03-07T00:00:00"/>
    <s v="Contract"/>
    <s v="GRUPO ANTONELLA LLC"/>
    <s v="SAN JUAN"/>
    <s v="Otros"/>
    <x v="20"/>
    <n v="10000"/>
    <n v="0"/>
    <m/>
    <n v="10000"/>
    <m/>
  </r>
  <r>
    <s v="FIE60-2024-2025-0035"/>
    <s v="2025-000554"/>
    <x v="223"/>
    <d v="2025-03-08T00:00:00"/>
    <d v="2027-12-31T00:00:00"/>
    <s v="Contract"/>
    <s v="JAVIER J DELGADO PEREZ"/>
    <s v="CAMUY"/>
    <s v="Beca Teodoro Moscoso Mora"/>
    <x v="16"/>
    <n v="30000"/>
    <n v="0"/>
    <n v="5000"/>
    <n v="25000"/>
    <m/>
  </r>
  <r>
    <s v="FIE60-2024-2025-0035"/>
    <s v="2025-000557"/>
    <x v="223"/>
    <d v="2025-03-08T00:00:00"/>
    <d v="2028-12-31T00:00:00"/>
    <s v="Contract"/>
    <s v="ABDIEL SANTIAGO ORTIZ"/>
    <s v="TOA ALTA"/>
    <s v="Beca Teodoro Moscoso Mora"/>
    <x v="16"/>
    <n v="35000"/>
    <n v="0"/>
    <n v="5000"/>
    <n v="30000"/>
    <m/>
  </r>
  <r>
    <s v="FIE60-2024-2025-0036"/>
    <s v="2025-000559"/>
    <x v="223"/>
    <d v="2025-03-08T00:00:00"/>
    <d v="2026-03-07T00:00:00"/>
    <s v="Contract"/>
    <s v="CENTRO DE TERAPIA INISIA, LLC"/>
    <s v="PONCE"/>
    <s v="Otros"/>
    <x v="20"/>
    <n v="5000"/>
    <n v="0"/>
    <m/>
    <n v="5000"/>
    <m/>
  </r>
  <r>
    <s v="FIE60-2024-2025-0036"/>
    <s v="2025-000555"/>
    <x v="223"/>
    <d v="2025-03-08T00:00:00"/>
    <d v="2026-03-07T00:00:00"/>
    <s v="Contract"/>
    <s v="GRAFIKBOX"/>
    <s v="HUMACAO"/>
    <s v="Otros"/>
    <x v="20"/>
    <n v="10000"/>
    <n v="0"/>
    <m/>
    <n v="10000"/>
    <m/>
  </r>
  <r>
    <s v="FIE60-2024-2025-0044"/>
    <s v="2025-000558"/>
    <x v="223"/>
    <d v="2025-03-08T00:00:00"/>
    <d v="2025-06-30T00:00:00"/>
    <s v="Contract"/>
    <s v="WILLIAM TRINIDAD CASTILLO"/>
    <s v="SAN JUAN"/>
    <s v="Incentivo para el Desarrollo de las Artesanías en PR"/>
    <x v="15"/>
    <n v="1440"/>
    <n v="0"/>
    <m/>
    <n v="1440"/>
    <m/>
  </r>
  <r>
    <s v="FIE60-2024-2025-0044"/>
    <s v="2025-000549"/>
    <x v="223"/>
    <d v="2025-03-08T00:00:00"/>
    <d v="2025-06-30T00:00:00"/>
    <s v="Contract"/>
    <s v="MALDONADO MEJIAS, SARAH"/>
    <s v="ADJUNTAS"/>
    <s v="Incentivo para el Desarrollo de las Artesanías en PR"/>
    <x v="15"/>
    <n v="1440"/>
    <n v="0"/>
    <m/>
    <n v="1440"/>
    <m/>
  </r>
  <r>
    <s v="FIE60-2024-2025-0044"/>
    <s v="2025-000562"/>
    <x v="224"/>
    <d v="2025-03-13T00:00:00"/>
    <d v="2025-06-30T00:00:00"/>
    <s v="Contract"/>
    <s v="MUNICIPIO DE AIBONITO"/>
    <s v="AIBONITO"/>
    <s v="Incentivo para el Desarrollo de las Artesanías en PR"/>
    <x v="15"/>
    <n v="3049.66"/>
    <n v="0"/>
    <m/>
    <n v="3049.66"/>
    <m/>
  </r>
  <r>
    <s v="FIE60-2024-2025-0035"/>
    <s v="2025-000561"/>
    <x v="224"/>
    <d v="2025-03-13T00:00:00"/>
    <d v="2026-12-31T00:00:00"/>
    <s v="Contract"/>
    <s v="BRYANT LUGO VILLANUEVA"/>
    <s v="FLORIDA"/>
    <s v="Beca Teodoro Moscoso Mora"/>
    <x v="16"/>
    <n v="15000"/>
    <n v="0"/>
    <n v="5000"/>
    <n v="10000"/>
    <m/>
  </r>
  <r>
    <s v="FIE60-2024-2025-0043"/>
    <s v="2025-000560"/>
    <x v="224"/>
    <d v="2025-03-13T00:00:00"/>
    <d v="2028-03-12T00:00:00"/>
    <s v="Contract"/>
    <s v="MARYANGELIE SOTO EGEA"/>
    <s v="BAYAMÓN"/>
    <s v="Incentivo para el Desarrollo de las Artesanías en PR"/>
    <x v="15"/>
    <n v="1000"/>
    <n v="0"/>
    <m/>
    <n v="1000"/>
    <m/>
  </r>
  <r>
    <s v="FIE60-2024-2025-0043"/>
    <s v="2025-000564"/>
    <x v="225"/>
    <d v="2025-03-14T00:00:00"/>
    <d v="2028-03-13T00:00:00"/>
    <s v="Contract"/>
    <s v="CLARIBEL ACOSTA JIMENEZ"/>
    <s v="SAN JUAN"/>
    <s v="Incentivo para el Desarrollo de las Artesanías en PR"/>
    <x v="15"/>
    <n v="1000"/>
    <n v="0"/>
    <m/>
    <n v="1000"/>
    <m/>
  </r>
  <r>
    <s v="FIE60-2024-2025-0044"/>
    <s v="2025-000566"/>
    <x v="225"/>
    <d v="2025-03-14T00:00:00"/>
    <d v="2025-06-30T00:00:00"/>
    <s v="Contract"/>
    <s v="CENTRO CULTURAL CARMEN SOLA DE PEREIRA"/>
    <s v="PONCE"/>
    <s v="Incentivo para el Desarrollo de las Artesanías en PR"/>
    <x v="15"/>
    <n v="5012.5"/>
    <n v="0"/>
    <m/>
    <n v="5012.5"/>
    <m/>
  </r>
  <r>
    <s v="FIE60-2024-2025-0043"/>
    <s v="2025-000570"/>
    <x v="226"/>
    <d v="2025-03-18T00:00:00"/>
    <d v="2028-03-17T00:00:00"/>
    <s v="Contract"/>
    <s v="SOFIA E BERNARD SANTOS"/>
    <s v="LUQUILLO"/>
    <s v="Incentivo para el Desarrollo de las Artesanías en PR"/>
    <x v="15"/>
    <n v="1000"/>
    <n v="0"/>
    <m/>
    <n v="1000"/>
    <m/>
  </r>
  <r>
    <s v="FIE60-2024-2025-0044"/>
    <s v="2025-000573"/>
    <x v="227"/>
    <d v="2025-03-21T00:00:00"/>
    <d v="2025-06-30T00:00:00"/>
    <s v="Contract"/>
    <s v="MUNICIPIO DE LARES "/>
    <s v="LARES"/>
    <s v="Incentivo para el Desarrollo de las Artesanías en PR"/>
    <x v="15"/>
    <n v="2050"/>
    <n v="0"/>
    <m/>
    <n v="2050"/>
    <m/>
  </r>
  <r>
    <s v="FIE60-2024-2025-0239"/>
    <s v="2025-000580"/>
    <x v="228"/>
    <d v="2025-03-24T00:00:00"/>
    <d v="2028-03-23T00:00:00"/>
    <s v="Contract"/>
    <s v="N &amp; D PRODUCS"/>
    <s v="PONCE"/>
    <s v="Incentivo Actividades de Mercadeo"/>
    <x v="32"/>
    <n v="9500"/>
    <n v="0"/>
    <m/>
    <n v="9500"/>
    <n v="5.01"/>
  </r>
  <r>
    <s v="FIE60-2024-2025-000533"/>
    <s v="2025-000533"/>
    <x v="229"/>
    <d v="2025-03-02T00:00:00"/>
    <d v="2025-06-30T00:00:00"/>
    <s v="Contract"/>
    <s v="TERESITA FUENTES"/>
    <s v="SAN JUAN"/>
    <s v="Servicios Profesionales "/>
    <x v="39"/>
    <n v="75000"/>
    <n v="0"/>
    <n v="6750"/>
    <n v="68250"/>
    <m/>
  </r>
  <r>
    <s v="FIE60-2024-2025-0208"/>
    <s v="2025-000577"/>
    <x v="230"/>
    <d v="2025-03-23T00:00:00"/>
    <d v="2030-06-30T00:00:00"/>
    <s v="Contract"/>
    <s v="MERAKI PAPER &amp; PLASTIC MFG LLC"/>
    <s v="CAROLINA"/>
    <s v="Empleo Básico y localización"/>
    <x v="8"/>
    <n v="19500"/>
    <n v="0"/>
    <m/>
    <n v="19500"/>
    <n v="1.01"/>
  </r>
  <r>
    <s v="FIE60-2024-2025-0209"/>
    <s v="2025-000578"/>
    <x v="230"/>
    <d v="2025-03-23T00:00:00"/>
    <d v="2030-06-30T00:00:00"/>
    <s v="Contract"/>
    <s v="MERAKI PAPER &amp; PLASTIC MFG LLC"/>
    <s v="CAROLINA"/>
    <s v="Maquinaria y Equipo"/>
    <x v="36"/>
    <n v="175000"/>
    <n v="0"/>
    <m/>
    <n v="175000"/>
    <n v="1.01"/>
  </r>
  <r>
    <s v="FIE60-2024-2025-0032"/>
    <s v="2025-000271"/>
    <x v="231"/>
    <s v="22/10/2024"/>
    <d v="2024-12-31T00:00:00"/>
    <s v="Contract"/>
    <s v="CONPRMETIDOS, CORP."/>
    <s v="GUAYNABO"/>
    <s v="Otros"/>
    <x v="35"/>
    <n v="10000"/>
    <n v="0"/>
    <n v="10000"/>
    <n v="0"/>
    <m/>
  </r>
  <r>
    <s v="FIE60-2023-2024-0238"/>
    <s v="2024-001061"/>
    <x v="232"/>
    <d v="2024-05-31T00:00:00"/>
    <d v="2025-05-30T00:00:00"/>
    <s v="Contract"/>
    <s v="EMPRESAS BORIQUE, INC."/>
    <s v="MAYAGÜEZ"/>
    <s v="Manufactura de muebles para oficinas y comercios"/>
    <x v="33"/>
    <n v="2659"/>
    <n v="0"/>
    <n v="2659"/>
    <n v="0"/>
    <s v="Programa de apoyo a empresarios minoritarios"/>
  </r>
  <r>
    <s v="FIE60-2023-2024-0328"/>
    <s v="2024-001061-A"/>
    <x v="233"/>
    <d v="2024-06-21T00:00:00"/>
    <d v="2025-05-30T00:00:00"/>
    <s v="Contract"/>
    <s v="EMPRESAS BORIQUE, INC."/>
    <s v="MAYAGÜEZ"/>
    <s v="Manufactura de muebles para oficinas y comercios"/>
    <x v="33"/>
    <n v="10440"/>
    <n v="0"/>
    <n v="10440"/>
    <n v="0"/>
    <s v="Programa de apoyo a empresarios minoritarios"/>
  </r>
  <r>
    <s v="FIE60-2024-2025-0135"/>
    <s v="2024-001061-C"/>
    <x v="234"/>
    <d v="2024-11-05T00:00:00"/>
    <d v="2025-05-30T00:00:00"/>
    <s v="Contract"/>
    <s v="EMPRESAS BORIQUE, INC."/>
    <s v="MAYAGÜEZ"/>
    <s v="Manufactura de muebles para oficinas y comercios"/>
    <x v="33"/>
    <n v="30670"/>
    <n v="0"/>
    <n v="30670"/>
    <n v="0"/>
    <s v="Programa de apoyo a empresarios minoritarios"/>
  </r>
  <r>
    <s v="FIE60-2022-2023-0035"/>
    <s v="2025-000523"/>
    <x v="217"/>
    <d v="2025-02-27T00:00:00"/>
    <d v="2029-12-31T00:00:00"/>
    <s v="Contract"/>
    <s v="GIANCARLOS ISIDOR PAGÁN"/>
    <s v="GUAYNABO"/>
    <s v="Beca Teodoro Moscoso Mora"/>
    <x v="16"/>
    <n v="40000"/>
    <n v="0"/>
    <n v="5000"/>
    <n v="35000"/>
    <s v="Programa de apoyo a empresarios minoritarios"/>
  </r>
  <r>
    <s v="FIE60-2024-2025-0046"/>
    <s v="2025-000318"/>
    <x v="235"/>
    <d v="2024-11-15T00:00:00"/>
    <d v="2027-11-14T00:00:00"/>
    <s v="Contract"/>
    <s v="RAINCOAT"/>
    <s v="SAN JUAN"/>
    <s v="PYMES Innovadoras "/>
    <x v="17"/>
    <n v="160000"/>
    <n v="0"/>
    <n v="158813.29999999999"/>
    <n v="1186.7000000000116"/>
    <s v="Programa de apoyo a empresarios minoritarios"/>
  </r>
  <r>
    <s v="FIE-2018-2019-IIP-0030"/>
    <s v="2022-000043"/>
    <x v="236"/>
    <d v="2021-08-06T00:00:00"/>
    <d v="2024-08-05T00:00:00"/>
    <s v="Contract"/>
    <s v="GLOBAL EDUCATION EXCHANGE OPPORT.INC."/>
    <s v="MANATI"/>
    <s v="PYMES Innovadoras "/>
    <x v="11"/>
    <n v="50000"/>
    <n v="0"/>
    <n v="50000"/>
    <n v="0"/>
    <s v="Programa de apoyo a empresarios minoritarios"/>
  </r>
  <r>
    <s v="FIE60-2024-2025-0013"/>
    <s v="2024-001061-B"/>
    <x v="191"/>
    <d v="2024-09-13T00:00:00"/>
    <d v="2025-05-30T00:00:00"/>
    <s v="Contract"/>
    <s v="EMPRESAS BORIQUE, INC."/>
    <s v="MAYAGÜEZ"/>
    <s v="Manufactura de muebles para oficinas y comercios"/>
    <x v="33"/>
    <n v="26097"/>
    <n v="0"/>
    <n v="26097"/>
    <n v="0"/>
    <s v="Programa de apoyo a empresarios minoritarios"/>
  </r>
  <r>
    <s v="FIE60-2024-2025-0044"/>
    <s v="2025-000220"/>
    <x v="178"/>
    <d v="2024-09-20T00:00:00"/>
    <d v="2024-12-31T00:00:00"/>
    <s v="Contract"/>
    <s v="JESUS M. GANDÍA LÓPEZ"/>
    <s v="CAGUAS"/>
    <s v="Taller renglón de barro en torno Municipio Las Piedras"/>
    <x v="15"/>
    <n v="1440"/>
    <n v="0"/>
    <n v="1440"/>
    <n v="0"/>
    <m/>
  </r>
  <r>
    <s v="FIE60-2024-2025-0213"/>
    <s v="2025-000579"/>
    <x v="230"/>
    <d v="2025-03-23T00:00:00"/>
    <d v="2030-03-22T00:00:00"/>
    <s v="Contract"/>
    <s v="CESAR CASTILLO LLC"/>
    <s v="Guaynabo"/>
    <s v="Maquinaria y Equipo"/>
    <x v="36"/>
    <n v="3090819"/>
    <n v="0"/>
    <m/>
    <n v="3090819"/>
    <s v="ROI 2242%"/>
  </r>
  <r>
    <s v="FIE60-2024-2025-0036"/>
    <s v="2025-000575"/>
    <x v="230"/>
    <d v="2025-03-23T00:00:00"/>
    <d v="2026-03-24T00:00:00"/>
    <s v="Contract"/>
    <s v="A&amp;A ACCOUNTING SERVICES LLC"/>
    <s v="Isabela"/>
    <s v="Otros / PROGRAMA CAPITAL SEMILLA PARA PYMES NUEVA CREACION"/>
    <x v="20"/>
    <n v="2500"/>
    <n v="0"/>
    <m/>
    <n v="2500"/>
    <m/>
  </r>
  <r>
    <s v="FIE60-2024-2025-0200"/>
    <s v="2025-000592"/>
    <x v="228"/>
    <d v="2025-03-24T00:00:00"/>
    <d v="2030-03-23T00:00:00"/>
    <s v="Contract"/>
    <s v="PR FIVE PALLETS, LLC"/>
    <s v="Toa Baja"/>
    <s v="Mejoras de Infraestructura"/>
    <x v="9"/>
    <n v="724500"/>
    <n v="0"/>
    <m/>
    <n v="724500"/>
    <s v="ROI 360%"/>
  </r>
  <r>
    <s v="FIE60-2024-2025-0240"/>
    <s v="2025-000585"/>
    <x v="228"/>
    <d v="2025-03-24T00:00:00"/>
    <d v="2029-03-30T00:00:00"/>
    <s v="Contract"/>
    <s v="NAIVE LLC"/>
    <s v="Isabela"/>
    <s v="Empleo básico y localización"/>
    <x v="8"/>
    <n v="15000"/>
    <n v="0"/>
    <m/>
    <n v="15000"/>
    <s v="ROI 1058%"/>
  </r>
  <r>
    <s v="FIE60-2024-2025-0241"/>
    <s v="2025-000586"/>
    <x v="228"/>
    <d v="2025-03-24T00:00:00"/>
    <d v="2029-03-30T00:00:00"/>
    <s v="Contract"/>
    <s v="NAIVE LLC"/>
    <s v="Isabela"/>
    <s v="Maquinaria y Equipo"/>
    <x v="36"/>
    <n v="12000"/>
    <n v="0"/>
    <m/>
    <n v="12000"/>
    <s v="ROI 1058%"/>
  </r>
  <r>
    <s v="FIE60-2024-2025-0203"/>
    <s v="2025-000596"/>
    <x v="228"/>
    <d v="2025-03-24T00:00:00"/>
    <d v="2028-03-23T00:00:00"/>
    <s v="Contract"/>
    <s v="SNAKE ISLAND BREWING CORP"/>
    <s v="Toa Alta"/>
    <s v="Empleo básico y localización"/>
    <x v="8"/>
    <n v="4500"/>
    <n v="0"/>
    <m/>
    <n v="4500"/>
    <s v="ROI 2501%"/>
  </r>
  <r>
    <s v="FIE60-2024-2025-0236"/>
    <s v="2025-000581"/>
    <x v="228"/>
    <d v="2025-03-24T00:00:00"/>
    <d v="2030-03-30T00:00:00"/>
    <s v="Contract"/>
    <s v="N &amp; D PRODUCTS LLC "/>
    <s v="Ponce"/>
    <s v="Empleo básico y localización"/>
    <x v="8"/>
    <n v="7500"/>
    <n v="0"/>
    <m/>
    <n v="7500"/>
    <s v="ROI 501%"/>
  </r>
  <r>
    <s v="FIE60-2024-2025-0237"/>
    <s v="2025-000582"/>
    <x v="228"/>
    <d v="2025-03-24T00:00:00"/>
    <d v="2030-03-23T00:00:00"/>
    <s v="Contract"/>
    <s v="N &amp; D PRODUCTS LLC "/>
    <s v="Ponce"/>
    <s v="Maquinaria y Equipo"/>
    <x v="36"/>
    <n v="118200"/>
    <n v="0"/>
    <m/>
    <n v="118200"/>
    <s v="ROI 501%"/>
  </r>
  <r>
    <s v="FIE60-2024-2025-0238"/>
    <s v="2025-000583"/>
    <x v="228"/>
    <d v="2025-03-24T00:00:00"/>
    <d v="2030-03-23T00:00:00"/>
    <s v="Contract"/>
    <s v="N &amp; D PRODUCTS LLC "/>
    <s v="Ponce"/>
    <s v="Mejoras de Infraestructura"/>
    <x v="9"/>
    <n v="41000"/>
    <n v="0"/>
    <m/>
    <n v="41000"/>
    <s v="ROI 501%"/>
  </r>
  <r>
    <s v="FIE60-2024-2025-0197"/>
    <s v="2025-000597"/>
    <x v="228"/>
    <d v="2025-03-24T00:00:00"/>
    <d v="2026-03-23T00:00:00"/>
    <s v="Contract"/>
    <s v="PAPA PEDRO, INC."/>
    <s v="Maricao"/>
    <s v="Incentivo para Actividades de Mercadeo"/>
    <x v="32"/>
    <n v="5000"/>
    <n v="0"/>
    <m/>
    <n v="5000"/>
    <s v="ROI 2353%"/>
  </r>
  <r>
    <s v="FIE60-2024-2025-0221"/>
    <s v="2025-000594"/>
    <x v="228"/>
    <d v="2025-03-24T00:00:00"/>
    <d v="2030-03-23T00:00:00"/>
    <s v="Contract"/>
    <s v="IGPR, INC."/>
    <s v="Yabucoa"/>
    <s v="Maquinaria y Equipo"/>
    <x v="36"/>
    <n v="135000"/>
    <n v="0"/>
    <m/>
    <n v="135000"/>
    <s v="ROI 134%"/>
  </r>
  <r>
    <s v="FIE60-2024-2025-0222"/>
    <s v="2025-000595"/>
    <x v="228"/>
    <d v="2025-03-24T00:00:00"/>
    <d v="2027-03-23T00:00:00"/>
    <s v="Contract"/>
    <s v="IGPR, INC."/>
    <s v="Yabucoa"/>
    <s v="Incentivo para Actividades de Mercadeo"/>
    <x v="32"/>
    <n v="45000"/>
    <n v="0"/>
    <m/>
    <n v="45000"/>
    <s v="ROI 134%"/>
  </r>
  <r>
    <s v="FIE60-2024-2025-0178"/>
    <s v="2025-000591"/>
    <x v="228"/>
    <d v="2025-03-24T00:00:00"/>
    <d v="2025-03-30T00:00:00"/>
    <s v="Contract"/>
    <s v="B.B. BEDDING, LLC"/>
    <s v="Trujillo Alto"/>
    <s v="Incentivo para Manufactura de Muebles y Textiles - Ley 8"/>
    <x v="33"/>
    <n v="140000"/>
    <n v="0"/>
    <n v="93540"/>
    <n v="46460"/>
    <m/>
  </r>
  <r>
    <s v="FIE60-2024-2025-0218"/>
    <s v="2025-000584"/>
    <x v="228"/>
    <d v="2025-03-24T00:00:00"/>
    <d v="2030-03-23T00:00:00"/>
    <s v="Contract"/>
    <s v="EMPRESAS BORIQUE, INC."/>
    <s v="MAYAGÜEZ"/>
    <s v="Mejoras de Infraestructura"/>
    <x v="9"/>
    <n v="48950"/>
    <n v="0"/>
    <m/>
    <n v="48950"/>
    <s v="ROI 1105%"/>
  </r>
  <r>
    <s v="FIE60-2024-2025-0205"/>
    <s v="2025-000587"/>
    <x v="228"/>
    <d v="2025-03-24T00:00:00"/>
    <d v="2025-06-30T00:00:00"/>
    <s v="Contract"/>
    <s v="ALUMINIOS DE PUERTO RICO LLC"/>
    <s v="Humacao"/>
    <s v="Importancia de proyecto"/>
    <x v="12"/>
    <n v="1073061"/>
    <n v="0"/>
    <m/>
    <n v="1073061"/>
    <s v="ROI 295%"/>
  </r>
  <r>
    <s v="FIE60-2024-2025-0233"/>
    <s v="2025-000588"/>
    <x v="228"/>
    <d v="2025-03-24T00:00:00"/>
    <d v="2027-03-23T00:00:00"/>
    <s v="Contract"/>
    <s v="PUERTO RICO CHOCOLATE CORPORATION"/>
    <s v="Aguadilla"/>
    <s v="Empleo básico y localización"/>
    <x v="8"/>
    <n v="3937.5"/>
    <n v="0"/>
    <m/>
    <n v="3937.5"/>
    <s v="ROI 168%"/>
  </r>
  <r>
    <s v="FIE60-2024-2025-0234"/>
    <s v="2025-000589"/>
    <x v="228"/>
    <d v="2025-03-24T00:00:00"/>
    <d v="2030-03-23T00:00:00"/>
    <s v="Contract"/>
    <s v="PUERTO RICO CHOCOLATE CORPORATION"/>
    <s v="Aguadilla"/>
    <s v="Maquinaria y Equipo"/>
    <x v="36"/>
    <n v="181150.2"/>
    <n v="0"/>
    <m/>
    <n v="181150.2"/>
    <s v="ROI 168%"/>
  </r>
  <r>
    <s v="FIE60-2024-2025-0235"/>
    <s v="2025-000590"/>
    <x v="228"/>
    <d v="2025-03-24T00:00:00"/>
    <d v="2026-09-23T00:00:00"/>
    <s v="Contract"/>
    <s v="PUERTO RICO CHOCOLATE CORPORATION"/>
    <s v="Aguadilla"/>
    <s v="Incentivo para Actividades de Mercadeo"/>
    <x v="32"/>
    <n v="21000"/>
    <n v="0"/>
    <m/>
    <n v="21000"/>
    <s v="ROI 168%"/>
  </r>
  <r>
    <s v="FIE60-2024-2025-0048"/>
    <s v="2025-000607"/>
    <x v="237"/>
    <d v="2025-03-25T00:00:00"/>
    <d v="2025-06-30T00:00:00"/>
    <s v="Contract"/>
    <s v="BARTOLO DOC LLC"/>
    <s v="San Juan"/>
    <s v="Otros"/>
    <x v="14"/>
    <n v="30000"/>
    <n v="0"/>
    <n v="15000"/>
    <n v="15000"/>
    <m/>
  </r>
  <r>
    <s v="FIE60-2024-2025-0036"/>
    <s v="2025-000601"/>
    <x v="238"/>
    <d v="2025-03-27T00:00:00"/>
    <d v="2026-03-26T00:00:00"/>
    <s v="Contract"/>
    <s v="BIENESTAR MOVEMENT LLC"/>
    <s v="San Sebastián"/>
    <s v="Otros"/>
    <x v="20"/>
    <n v="2150"/>
    <n v="0"/>
    <m/>
    <n v="2150"/>
    <m/>
  </r>
  <r>
    <s v="FIE60-2024-2025-0043"/>
    <s v="2025-000598"/>
    <x v="238"/>
    <d v="2025-03-27T00:00:00"/>
    <d v="2028-06-30T00:00:00"/>
    <s v="Contract"/>
    <s v="BRUNILDA HERNANDEZ RIVERA"/>
    <s v="Moca"/>
    <s v="Incentivo para el Desarrollo de las Artesanías en PR"/>
    <x v="15"/>
    <n v="1000"/>
    <n v="0"/>
    <m/>
    <n v="1000"/>
    <m/>
  </r>
  <r>
    <s v="FIE60-2024-2025-0043"/>
    <s v="2025-000600"/>
    <x v="238"/>
    <d v="2025-03-27T00:00:00"/>
    <d v="2028-06-30T00:00:00"/>
    <s v="Contract"/>
    <s v="YARIMAR DIAZ CABRERA"/>
    <s v="Naranjito"/>
    <s v="Incentivo para el Desarrollo de las Artesanías en PR"/>
    <x v="15"/>
    <n v="1000"/>
    <n v="0"/>
    <m/>
    <n v="1000"/>
    <m/>
  </r>
  <r>
    <s v="FIE60-2024-2025-0274"/>
    <s v="2025-000604"/>
    <x v="239"/>
    <d v="2025-03-31T00:00:00"/>
    <d v="2030-03-30T00:00:00"/>
    <s v="Contract"/>
    <s v="VIANT PUERTO RICO, INC."/>
    <s v="Vega Baja"/>
    <s v="Empleo básico y localización"/>
    <x v="8"/>
    <n v="240000"/>
    <n v="0"/>
    <m/>
    <n v="240000"/>
    <s v="ROI 3557%"/>
  </r>
  <r>
    <s v="FIE60-2024-2025-0275"/>
    <s v="2025-000603"/>
    <x v="239"/>
    <d v="2025-03-31T00:00:00"/>
    <d v="2030-03-30T00:00:00"/>
    <s v="Contract"/>
    <s v="VIANT PUERTO RICO, INC."/>
    <s v="Vega Baja"/>
    <s v="Maquinaria y Equipo"/>
    <x v="36"/>
    <n v="582600"/>
    <n v="0"/>
    <m/>
    <n v="582600"/>
    <s v="ROI 3557%"/>
  </r>
  <r>
    <s v="FIE60-2024-2025-0266"/>
    <s v="2025-000605"/>
    <x v="239"/>
    <d v="2025-03-31T00:00:00"/>
    <d v="2030-03-30T00:00:00"/>
    <s v="Contract"/>
    <s v="SANGRIA GIORGIO LLC"/>
    <s v="Ponce"/>
    <s v="Maquinaria y Equipo"/>
    <x v="36"/>
    <n v="17108"/>
    <n v="0"/>
    <m/>
    <n v="17108"/>
    <s v="ROI 2237%"/>
  </r>
  <r>
    <s v="FIE60-2024-2025-0035"/>
    <s v="2025-000608"/>
    <x v="240"/>
    <d v="2025-04-01T00:00:00"/>
    <d v="2027-12-31T00:00:00"/>
    <s v="Contract"/>
    <s v="JOSE Y  COLON COLON"/>
    <s v="Coamo"/>
    <s v="Beca Teodoro Moscoso Mora"/>
    <x v="16"/>
    <n v="30000"/>
    <n v="0"/>
    <n v="5000"/>
    <n v="25000"/>
    <m/>
  </r>
  <r>
    <s v="FIE60-2024-2025-0232"/>
    <s v="2025-000602"/>
    <x v="240"/>
    <d v="2025-04-01T00:00:00"/>
    <d v="2027-06-30T00:00:00"/>
    <s v="Contract"/>
    <s v="MADE BY COOKS, LLC"/>
    <s v="San Juan"/>
    <s v="Incentivo para Actividades de Mercadeo"/>
    <x v="32"/>
    <n v="25000"/>
    <n v="0"/>
    <m/>
    <n v="25000"/>
    <s v="ROI 241%"/>
  </r>
  <r>
    <s v="FIE60-2024-2025-0036"/>
    <s v="2025-000616"/>
    <x v="241"/>
    <d v="2025-04-07T00:00:00"/>
    <d v="2026-04-06T00:00:00"/>
    <s v="Contract"/>
    <s v="LABORATORIO CLINICO VEGA CSP"/>
    <s v="Camuy"/>
    <s v="Otros"/>
    <x v="20"/>
    <n v="10000"/>
    <n v="0"/>
    <m/>
    <n v="10000"/>
    <m/>
  </r>
  <r>
    <s v="FIE60-2024-2025-0036"/>
    <s v="2025-000637"/>
    <x v="242"/>
    <d v="2025-04-11T00:00:00"/>
    <d v="2026-10-10T00:00:00"/>
    <s v="Contract"/>
    <s v="ALVAREZ ELECTRIC AND SOLAR SOLUTIONS, LLC"/>
    <s v="Canóvanas"/>
    <s v="Otros"/>
    <x v="20"/>
    <n v="5000"/>
    <n v="0"/>
    <m/>
    <n v="5000"/>
    <m/>
  </r>
  <r>
    <s v="FIE60-2024-2025-0036"/>
    <s v="2025-000636"/>
    <x v="242"/>
    <d v="2025-04-11T00:00:00"/>
    <d v="2026-04-10T00:00:00"/>
    <s v="Contract"/>
    <s v="MIA MAR, INC."/>
    <s v="Cayey"/>
    <s v="Otros"/>
    <x v="20"/>
    <n v="10000"/>
    <n v="0"/>
    <m/>
    <n v="10000"/>
    <m/>
  </r>
  <r>
    <s v="FIE60-2024-2025-0036"/>
    <s v="2025-000639"/>
    <x v="243"/>
    <d v="2025-04-12T00:00:00"/>
    <d v="2026-04-11T00:00:00"/>
    <s v="Contract"/>
    <s v="JAQ RESTAURANTS LLC"/>
    <s v="Bayamón"/>
    <s v="Otros"/>
    <x v="20"/>
    <n v="10000"/>
    <n v="0"/>
    <m/>
    <n v="10000"/>
    <m/>
  </r>
  <r>
    <s v="FIE60-2024-2025-0035"/>
    <s v="2025-000638"/>
    <x v="243"/>
    <d v="2025-04-12T00:00:00"/>
    <d v="2026-12-31T00:00:00"/>
    <s v="Contract"/>
    <s v="YOVIANA J FONTANEZ ZAYAS"/>
    <s v="Las Piedras"/>
    <s v="Beca Teodoro Moscoso Mora"/>
    <x v="16"/>
    <n v="20000"/>
    <n v="0"/>
    <n v="5000"/>
    <n v="15000"/>
    <m/>
  </r>
  <r>
    <s v="FIE60-2024-2025-0043"/>
    <s v="2025-000645"/>
    <x v="244"/>
    <d v="2025-04-13T00:00:00"/>
    <d v="2028-06-30T00:00:00"/>
    <s v="Contract"/>
    <s v="NORMA D HERNANDEZ MONROIG"/>
    <s v="Camuy"/>
    <s v="Incentivo para el Desarrollo de las Artesanías en PR"/>
    <x v="15"/>
    <n v="600"/>
    <n v="0"/>
    <m/>
    <n v="600"/>
    <m/>
  </r>
  <r>
    <s v="FIE60-2024-2025-0036"/>
    <s v="2025-000649"/>
    <x v="244"/>
    <d v="2025-04-13T00:00:00"/>
    <d v="2026-04-12T00:00:00"/>
    <s v="Contract"/>
    <s v="MAYRA COLON QUINTANA H/N/C LABORATORIO CLINICO HOYAMALA"/>
    <s v="Canóvanas"/>
    <s v="Otros"/>
    <x v="20"/>
    <n v="7380"/>
    <n v="0"/>
    <m/>
    <n v="7380"/>
    <m/>
  </r>
  <r>
    <s v="FIE60-2024-2025-0036"/>
    <s v="2025-000642"/>
    <x v="244"/>
    <d v="2025-04-13T00:00:00"/>
    <d v="2026-04-12T00:00:00"/>
    <s v="Contract"/>
    <s v="INTEGRATED ACCOUNTING SOLUTIONS JC CORP"/>
    <s v="Barranquitas"/>
    <s v="Otros"/>
    <x v="20"/>
    <n v="1565"/>
    <n v="0"/>
    <m/>
    <n v="1565"/>
    <m/>
  </r>
  <r>
    <s v="FIE60-2024-2025-0036"/>
    <s v="2025-000648"/>
    <x v="244"/>
    <d v="2025-04-13T00:00:00"/>
    <d v="2026-04-12T00:00:00"/>
    <s v="Contract"/>
    <s v="D LEITE LLC"/>
    <s v="Yauco"/>
    <s v="Otros"/>
    <x v="20"/>
    <n v="10000"/>
    <n v="0"/>
    <m/>
    <n v="10000"/>
    <m/>
  </r>
  <r>
    <s v="FIE60-2024-2025-0036"/>
    <s v="2025-000650"/>
    <x v="244"/>
    <d v="2025-04-13T00:00:00"/>
    <d v="2026-04-12T00:00:00"/>
    <s v="Contract"/>
    <s v="OH MY BY YANIRA LLC"/>
    <s v="Yauco"/>
    <s v="Otros"/>
    <x v="20"/>
    <n v="10000"/>
    <n v="0"/>
    <m/>
    <n v="10000"/>
    <m/>
  </r>
  <r>
    <s v="FIE60-2024-2025-0043"/>
    <s v="2025-000641"/>
    <x v="244"/>
    <d v="2025-04-13T00:00:00"/>
    <d v="2028-06-30T00:00:00"/>
    <s v="Contract"/>
    <s v="LINDA N LOZANO BORRERO"/>
    <s v="San Juan"/>
    <s v="Incentivo para el Desarrollo de las Artesanías en PR"/>
    <x v="15"/>
    <n v="1000"/>
    <n v="0"/>
    <m/>
    <n v="1000"/>
    <m/>
  </r>
  <r>
    <s v="FIE60-2024-2025-0036"/>
    <s v="2025-000643"/>
    <x v="244"/>
    <d v="2025-04-13T00:00:00"/>
    <d v="2026-10-12T00:00:00"/>
    <s v="Contract"/>
    <s v="BUSINESS INNOVATION GROUP LLC"/>
    <s v="San Juan"/>
    <s v="Otros"/>
    <x v="20"/>
    <n v="5000"/>
    <n v="0"/>
    <m/>
    <n v="5000"/>
    <m/>
  </r>
  <r>
    <s v="FIE60-2024-2025-0036"/>
    <s v="2025-000646"/>
    <x v="244"/>
    <d v="2025-04-13T00:00:00"/>
    <d v="2026-04-12T00:00:00"/>
    <s v="Contract"/>
    <s v="SMYT PROFESSIONAL SERVICES, LLC."/>
    <s v="San Sebastián"/>
    <s v="Otros"/>
    <x v="20"/>
    <n v="10000"/>
    <n v="0"/>
    <m/>
    <n v="10000"/>
    <m/>
  </r>
  <r>
    <s v="FIE60-2024-2025-0035"/>
    <s v="2025-000644"/>
    <x v="244"/>
    <d v="2025-04-13T00:00:00"/>
    <d v="2026-12-31T00:00:00"/>
    <s v="Contract"/>
    <s v="D'WINN J COTTO RODRIGUEZ"/>
    <s v="Bayamón"/>
    <s v="Beca Teodoro Moscoso Mora"/>
    <x v="16"/>
    <n v="20000"/>
    <n v="0"/>
    <n v="5000"/>
    <n v="15000"/>
    <m/>
  </r>
  <r>
    <s v="FIE60-2024-2025-0196"/>
    <s v="2025-000599"/>
    <x v="245"/>
    <d v="2025-04-14T00:00:00"/>
    <d v="2030-04-13T00:00:00"/>
    <s v="Contract"/>
    <s v="PAPA PEDRO, INC."/>
    <s v="Maricao"/>
    <s v="Empleo básico y localización"/>
    <x v="8"/>
    <n v="4500"/>
    <n v="0"/>
    <m/>
    <n v="4500"/>
    <s v="ROI 2353%"/>
  </r>
  <r>
    <s v="FIE60-2024-2025-0142"/>
    <s v="2025-000627"/>
    <x v="245"/>
    <d v="2025-04-14T00:00:00"/>
    <d v="2030-04-13T00:00:00"/>
    <s v="Contract"/>
    <s v="PAPA PEDRO, INC."/>
    <s v="Maricao"/>
    <s v="Maquinaria y Equipo"/>
    <x v="36"/>
    <n v="18000"/>
    <n v="0"/>
    <m/>
    <n v="18000"/>
    <s v="ROI 2353%"/>
  </r>
  <r>
    <s v="FIE60-2024-2025-0280"/>
    <s v="2025-000630"/>
    <x v="245"/>
    <d v="2025-04-14T00:00:00"/>
    <d v="2030-04-13T00:00:00"/>
    <s v="Contract"/>
    <s v="LORMAR OPTICAL DISTRIBUTORS, INC."/>
    <s v="Caguas"/>
    <s v="Ophtalmic lenses"/>
    <x v="36"/>
    <n v="751403"/>
    <n v="0"/>
    <m/>
    <n v="751403"/>
    <s v="ROI 220%"/>
  </r>
  <r>
    <s v="FIE60-2024-2025-0212"/>
    <s v="2025-000629"/>
    <x v="245"/>
    <d v="2025-04-14T00:00:00"/>
    <d v="2030-04-13T00:00:00"/>
    <s v="Contract"/>
    <s v="CESAR CASTILLO LLC"/>
    <s v="Guaynabo"/>
    <s v="Empleo básico y localización"/>
    <x v="8"/>
    <n v="64000"/>
    <n v="0"/>
    <m/>
    <n v="64000"/>
    <s v="ROI 2242%"/>
  </r>
  <r>
    <s v="FIE60-2024-2025-0290"/>
    <s v="2025-000634"/>
    <x v="245"/>
    <d v="2025-04-14T00:00:00"/>
    <d v="2030-04-13T00:00:00"/>
    <s v="Contract"/>
    <s v="COOPERATIVA AGRO-COMERCIAL DE PUERTO RICO"/>
    <s v="Ciales"/>
    <s v="Maquinaria y Equipo"/>
    <x v="36"/>
    <n v="420000"/>
    <n v="0"/>
    <m/>
    <n v="420000"/>
    <s v="ROI 231%"/>
  </r>
  <r>
    <s v="FIE60-2024-2025-0291"/>
    <s v="2025-000633"/>
    <x v="245"/>
    <d v="2025-04-14T00:00:00"/>
    <d v="2026-04-13T00:00:00"/>
    <s v="Contract"/>
    <s v="COOPERATIVA AGRO-COMERCIAL DE PUERTO RICO"/>
    <s v="Ciales"/>
    <s v="Incentivo para Actividades de Mercadeo"/>
    <x v="32"/>
    <n v="50000"/>
    <n v="0"/>
    <m/>
    <n v="50000"/>
    <s v="ROI 231%"/>
  </r>
  <r>
    <s v="FIE60-2024-2025-0289"/>
    <s v="2025-000632"/>
    <x v="245"/>
    <d v="2025-04-14T00:00:00"/>
    <d v="2028-04-13T00:00:00"/>
    <s v="Contract"/>
    <s v="COOPERATIVA AGRO-COMERCIAL DE PUERTO RICO"/>
    <s v="Ciales"/>
    <s v="Empleo básico y localización"/>
    <x v="8"/>
    <n v="30000"/>
    <n v="0"/>
    <m/>
    <n v="30000"/>
    <s v="ROI 231%"/>
  </r>
  <r>
    <s v="FIE60-2024-2025-0066"/>
    <s v="2025-000628"/>
    <x v="245"/>
    <d v="2025-04-14T00:00:00"/>
    <d v="2030-04-13T00:00:00"/>
    <s v="Contract"/>
    <s v="GREEN INTERNATIONAL LLC"/>
    <s v="Las Piedras"/>
    <s v="Maquinaria y Equipo"/>
    <x v="36"/>
    <n v="1350000"/>
    <n v="0"/>
    <m/>
    <n v="1350000"/>
    <s v="ROI 102%"/>
  </r>
  <r>
    <s v="FIE60-2024-2025-0271"/>
    <s v="2025-000635"/>
    <x v="245"/>
    <d v="2025-04-14T00:00:00"/>
    <d v="2029-06-30T00:00:00"/>
    <s v="Contract"/>
    <s v="PESCADERIA CHUITO CORP"/>
    <s v="Naguabo"/>
    <s v="Maquinaria y Equipo"/>
    <x v="36"/>
    <n v="30165.5"/>
    <n v="0"/>
    <m/>
    <n v="30165.5"/>
    <s v="ROI 870%"/>
  </r>
  <r>
    <s v="FIE60-2023-2024-0044"/>
    <s v="2024-000349"/>
    <x v="246"/>
    <d v="2024-06-30T00:00:00"/>
    <d v="2023-10-23T00:00:00"/>
    <s v="Cancelled"/>
    <s v="JUAN L. VILLALOBOS JIMENEZ"/>
    <s v="CIALES"/>
    <s v="Tejido de muebles en enea"/>
    <x v="15"/>
    <n v="1440"/>
    <n v="40"/>
    <n v="1400"/>
    <n v="0"/>
    <s v="Programa de apoyo a empresarios minoritarios.  Finanzas solicita cancelar balance al 4-10-2025"/>
  </r>
  <r>
    <s v="FIE60-2024-2025-0032"/>
    <s v="2025-000257"/>
    <x v="247"/>
    <d v="2024-10-19T00:00:00"/>
    <d v="2024-12-31T00:00:00"/>
    <s v="Contract"/>
    <s v="EMOTIONS PRODUCTIONS, LLC"/>
    <s v="DORADO"/>
    <s v="Auspicio Feria de Estudiante Senior"/>
    <x v="35"/>
    <n v="25000"/>
    <n v="0"/>
    <n v="25000"/>
    <n v="0"/>
    <s v="Auspicio"/>
  </r>
  <r>
    <s v="FIE60-2024-2025-0003"/>
    <s v="2025-000165"/>
    <x v="164"/>
    <d v="2024-08-30T00:00:00"/>
    <d v="2025-06-30T00:00:00"/>
    <s v="Contract"/>
    <s v="INNOVATIO SOFTWARE SOLUTIONS INC"/>
    <s v="San Juan"/>
    <s v="Otros"/>
    <x v="35"/>
    <n v="933200"/>
    <m/>
    <n v="251912"/>
    <n v="681288"/>
    <m/>
  </r>
  <r>
    <s v="FIE60-2024-2025-0044"/>
    <s v="2025-000273"/>
    <x v="181"/>
    <d v="2024-10-11T00:00:00"/>
    <d v="2024-12-31T00:00:00"/>
    <s v="Contract"/>
    <s v="ARTESANOS DEL ESTE INC."/>
    <s v="LUQUILLO"/>
    <s v="Auspicio Celebraci[on 17mo Festival del Coco"/>
    <x v="15"/>
    <n v="2977"/>
    <n v="0"/>
    <n v="2977"/>
    <n v="0"/>
    <m/>
  </r>
  <r>
    <s v="FIE60-2022-2023-0105"/>
    <s v="2023-002137"/>
    <x v="248"/>
    <d v="2023-03-24T00:00:00"/>
    <d v="2028-03-23T00:00:00"/>
    <s v="Contract"/>
    <s v="EMPRESAS BORIQUE, INC."/>
    <s v="MAYAGÜEZ"/>
    <s v="Inversión en Maquinaria y Equipo/Ley 60-2019"/>
    <x v="40"/>
    <n v="125000"/>
    <n v="0"/>
    <n v="123988.84"/>
    <n v="1011.1600000000035"/>
    <s v="ROI 1105%"/>
  </r>
  <r>
    <s v="FIE60-2024-2025-0035"/>
    <s v="2025-000524"/>
    <x v="217"/>
    <d v="2025-02-27T00:00:00"/>
    <d v="2027-12-31T00:00:00"/>
    <s v="Contract"/>
    <s v="JOSUÉ CUEVAS SOTO"/>
    <s v="HATILLO"/>
    <s v="Beca Teodoro Moscoso Mora"/>
    <x v="16"/>
    <n v="30000"/>
    <n v="0"/>
    <n v="5000"/>
    <n v="25000"/>
    <m/>
  </r>
  <r>
    <s v="FIE60-2024-2025-0215"/>
    <s v="2025-000653"/>
    <x v="249"/>
    <d v="2025-04-16T00:00:00"/>
    <d v="2030-04-15T00:00:00"/>
    <s v="Contract"/>
    <s v="EB ALUMINUM SERVICES, INC."/>
    <s v="Caguas"/>
    <s v="Maquinaria y Equipo"/>
    <x v="36"/>
    <n v="39270"/>
    <n v="0"/>
    <m/>
    <m/>
    <s v="ROI 147%"/>
  </r>
  <r>
    <s v="FIE60-2024-2025-0216"/>
    <s v="2025-000655"/>
    <x v="249"/>
    <d v="2025-04-16T00:00:00"/>
    <d v="2026-10-15T00:00:00"/>
    <s v="Contract"/>
    <s v="EB ALUMINUM SERVICES, INC."/>
    <s v="Caguas"/>
    <s v="Incentivo para Actividades de Mercadeo"/>
    <x v="32"/>
    <n v="22726.5"/>
    <n v="0"/>
    <m/>
    <m/>
    <s v="ROI 147%"/>
  </r>
  <r>
    <s v="FIE60-2024-2025-0043"/>
    <s v="2025-000664"/>
    <x v="250"/>
    <d v="2025-05-06T00:00:00"/>
    <d v="2028-06-30T00:00:00"/>
    <s v="Contract"/>
    <s v="ANGEL L. LOPEZ DIAZ"/>
    <s v="Aguada"/>
    <s v="Incentivo para el Desarrollo de las ArtesanÍas en PR"/>
    <x v="15"/>
    <n v="1000"/>
    <n v="0"/>
    <m/>
    <m/>
    <m/>
  </r>
  <r>
    <s v="FIE60-2024-2025-0300"/>
    <s v="2025-000659"/>
    <x v="250"/>
    <d v="2025-05-06T00:00:00"/>
    <d v="2025-06-30T00:00:00"/>
    <s v="Contract"/>
    <s v="COBIAN MEDIA, LLC"/>
    <s v="Guaynabo"/>
    <s v="Otros / AUSPICIO &quot;AGROHACK CONFERENCE &amp; EXPO 2025&quot;"/>
    <x v="35"/>
    <n v="20000"/>
    <n v="0"/>
    <m/>
    <m/>
    <m/>
  </r>
  <r>
    <s v="FIE60-2024-2025-0036"/>
    <s v="2025-000662"/>
    <x v="250"/>
    <d v="2025-05-06T00:00:00"/>
    <d v="2026-05-05T00:00:00"/>
    <s v="Contract"/>
    <s v="ISAAC GONZLAEZ ROMAN H/N/C AGROCENTRO ISABELINO"/>
    <s v="Isabela"/>
    <s v="Otros / CAPITAL SEMILLA PARA PYMES EXISTENTES"/>
    <x v="20"/>
    <n v="4800"/>
    <n v="0"/>
    <m/>
    <m/>
    <m/>
  </r>
  <r>
    <s v="FIE60-2024-2025-0036"/>
    <s v="2025-000660"/>
    <x v="250"/>
    <d v="2025-05-06T00:00:00"/>
    <d v="2026-05-05T00:00:00"/>
    <s v="Contract"/>
    <s v="MANIFESTO MOCKTAIL AND COFFEE BAR LLC"/>
    <s v="Isabela"/>
    <s v="Otros / CAPITAL SEMILLA PARA PYMES EXISTENTES"/>
    <x v="20"/>
    <n v="1900"/>
    <n v="0"/>
    <m/>
    <m/>
    <m/>
  </r>
  <r>
    <s v="FIE60-2024-2025-0036"/>
    <s v="2025-000663"/>
    <x v="250"/>
    <d v="2025-05-06T00:00:00"/>
    <d v="2026-05-05T00:00:00"/>
    <s v="Contract"/>
    <s v="PROSALUD MEDICAL CENTER PSC"/>
    <s v="Isabela"/>
    <s v="Otros / PROGRAMA CAPITAL SEMILLA PARA PYMES EXISTENTES"/>
    <x v="20"/>
    <n v="5000"/>
    <n v="0"/>
    <m/>
    <m/>
    <m/>
  </r>
  <r>
    <s v="FIE60-2024-2025-0036"/>
    <s v="2025-000678"/>
    <x v="251"/>
    <d v="2025-05-14T00:00:00"/>
    <d v="2026-05-13T00:00:00"/>
    <s v="Contract"/>
    <s v="ANA PAOLA ATELIER"/>
    <s v="San Germán"/>
    <s v="Otros - PROGRAMA CAPITAL SEMILLA PARA PYMES EXISTENTES"/>
    <x v="20"/>
    <n v="2350"/>
    <n v="0"/>
    <m/>
    <m/>
    <m/>
  </r>
  <r>
    <s v="FIE60-2024-2025-0036"/>
    <s v="2025-000674"/>
    <x v="251"/>
    <d v="2025-05-14T00:00:00"/>
    <d v="2026-05-13T00:00:00"/>
    <s v="Contract"/>
    <s v="INTEGRATED BUSINESS SOLUTIONS LLC"/>
    <s v="San Juan"/>
    <s v="Otros - PROGRAMA CAPITAL SEMILLA PARA PYMES EXISTENTES"/>
    <x v="20"/>
    <n v="10000"/>
    <n v="0"/>
    <m/>
    <m/>
    <m/>
  </r>
  <r>
    <s v="FIE60-2024-2025-0036"/>
    <s v="2025-000675"/>
    <x v="251"/>
    <d v="2025-05-14T00:00:00"/>
    <d v="2026-05-13T00:00:00"/>
    <s v="Contract"/>
    <s v="AVA BEAUTY ESTHETIC"/>
    <s v="Trujillo Alto"/>
    <s v="Otros - PROGRAMA CAPITAL SEMILLA PARA PYMES EXISTENTES"/>
    <x v="20"/>
    <n v="8400"/>
    <n v="0"/>
    <m/>
    <m/>
    <m/>
  </r>
  <r>
    <s v="FIE60-2024-2025-0036"/>
    <s v="2025-000687"/>
    <x v="251"/>
    <d v="2025-05-14T00:00:00"/>
    <d v="2026-05-13T00:00:00"/>
    <s v="Contract"/>
    <s v="MOY STUDIO"/>
    <s v="Vega Baja"/>
    <s v="Otros - PROGRAMA CAPITAL SEMILLA PARA PYMES EXISTENTES"/>
    <x v="20"/>
    <n v="10000"/>
    <n v="0"/>
    <m/>
    <m/>
    <m/>
  </r>
  <r>
    <s v="FIE60-2024-2025-0036"/>
    <s v="2025-000684"/>
    <x v="251"/>
    <d v="2025-05-14T00:00:00"/>
    <d v="2026-05-13T00:00:00"/>
    <s v="Contract"/>
    <s v="WILBER LUGO HNC REVOLUTION BARBER SHOP"/>
    <s v="Lajas"/>
    <s v="Otros"/>
    <x v="35"/>
    <n v="5000"/>
    <n v="0"/>
    <m/>
    <m/>
    <m/>
  </r>
  <r>
    <s v="FIE60-2024-2025-0036"/>
    <s v="2025-000673"/>
    <x v="251"/>
    <d v="2025-05-14T00:00:00"/>
    <d v="2025-05-13T00:00:00"/>
    <s v="Contract"/>
    <s v="MARISOL VELEZ HNC SANA CLINICA DE TERAPIA FISICA Y REHABILITACION"/>
    <s v="Isabela"/>
    <s v="Otros"/>
    <x v="35"/>
    <n v="10000"/>
    <n v="0"/>
    <m/>
    <m/>
    <m/>
  </r>
  <r>
    <s v="FIE60-2024-2025-0036"/>
    <s v="2025-000685"/>
    <x v="251"/>
    <d v="2025-05-14T00:00:00"/>
    <d v="2025-05-13T00:00:00"/>
    <s v="Contract"/>
    <s v="HERMINIO AMADOR TRUCKING COMPANY, INC"/>
    <s v="Camuy"/>
    <s v="Otros - PROGRAMA CAPITAL SEMILLA PARA PYMES EXISTENTES"/>
    <x v="20"/>
    <n v="10000"/>
    <n v="0"/>
    <m/>
    <m/>
    <m/>
  </r>
  <r>
    <s v="FIE60-2024-2025-0036"/>
    <s v="2025-000677"/>
    <x v="251"/>
    <d v="2025-05-14T00:00:00"/>
    <d v="2025-05-13T00:00:00"/>
    <s v="Contract"/>
    <s v="CENTRO EDUCATIVO ROI INC"/>
    <s v="Carolina"/>
    <s v="Otros - PROGRAMA CAPITAL SEMILLA PARA PYMES EXISTENTES"/>
    <x v="20"/>
    <n v="7560"/>
    <n v="0"/>
    <m/>
    <m/>
    <m/>
  </r>
  <r>
    <s v="FIE60-2024-2025-0036"/>
    <s v="2025-000688"/>
    <x v="251"/>
    <d v="2025-05-14T00:00:00"/>
    <d v="2026-05-13T00:00:00"/>
    <s v="Contract"/>
    <s v="CHRISTIAN RAMIREZ CARABALLO H/N/C CAR COLOR MAX"/>
    <s v="San Juan"/>
    <s v="Otros - PROGRAMA CAPITAL SEMILLA PARA PYMES EXISTENTES"/>
    <x v="20"/>
    <n v="10000"/>
    <n v="0"/>
    <m/>
    <m/>
    <m/>
  </r>
  <r>
    <s v="FIE60-2024-2025-0036"/>
    <s v="2025-000680"/>
    <x v="251"/>
    <d v="2025-05-14T00:00:00"/>
    <d v="2026-05-13T00:00:00"/>
    <s v="Contract"/>
    <s v="OM STUDIO URBAN VIEW LLC"/>
    <s v="San Juan"/>
    <s v="Otros - CONTRATO PROGRAMA CAPITAL SEMILLA PARA PYMES EXISTENTES"/>
    <x v="20"/>
    <n v="10000"/>
    <n v="0"/>
    <m/>
    <m/>
    <m/>
  </r>
  <r>
    <s v="FIE60-2024-2025-0036"/>
    <s v="2025-000679"/>
    <x v="251"/>
    <d v="2025-05-14T00:00:00"/>
    <d v="2026-05-13T00:00:00"/>
    <s v="Contract"/>
    <s v="VEB LLC"/>
    <s v="San Juan"/>
    <s v="Otros - PROGRAMA CAPITAL SEMILLA PARA PYMES EXISTENTES"/>
    <x v="20"/>
    <n v="10000"/>
    <n v="0"/>
    <m/>
    <m/>
    <m/>
  </r>
  <r>
    <s v="FIE60-2024-2025-0036"/>
    <s v="2025-000683"/>
    <x v="251"/>
    <d v="2025-05-14T00:00:00"/>
    <d v="2026-05-13T00:00:00"/>
    <s v="Contract"/>
    <s v="GOLDEN SAVANNAH INC"/>
    <s v="Quebradillas"/>
    <s v="Otros - PROGRAMA CAPITAL SEMILLA PARA PYMES EXISTENTES"/>
    <x v="20"/>
    <n v="10000"/>
    <n v="0"/>
    <m/>
    <m/>
    <m/>
  </r>
  <r>
    <s v="FIE60-2024-2025-0036"/>
    <s v="2025-000681"/>
    <x v="251"/>
    <d v="2025-05-14T00:00:00"/>
    <d v="2026-05-13T00:00:00"/>
    <s v="Contract"/>
    <s v="ALFREDO J QUINONES SANCHEZ H/N/C ALFRED2S PIZZA"/>
    <s v="Yauco"/>
    <s v="Otros - PROGRAMA CAPITAL SEMILLA PARA PYMES EXISTENTES"/>
    <x v="20"/>
    <n v="10000"/>
    <n v="0"/>
    <m/>
    <m/>
    <m/>
  </r>
  <r>
    <s v="FIE60-2024-2025-0036"/>
    <s v="2025-000672"/>
    <x v="251"/>
    <d v="2025-05-14T00:00:00"/>
    <d v="2026-05-13T00:00:00"/>
    <s v="Contract"/>
    <s v="B GARDENS"/>
    <s v="Bayamón"/>
    <s v="Otros - PROGRAMA CAPITAL SEMILLA PARA PYMES EXISTENTES"/>
    <x v="20"/>
    <n v="4800"/>
    <n v="0"/>
    <m/>
    <m/>
    <m/>
  </r>
  <r>
    <s v="FIE60-2024-2025-0035"/>
    <s v="2025-000690"/>
    <x v="251"/>
    <d v="2025-05-14T00:00:00"/>
    <d v="2026-12-31T00:00:00"/>
    <s v="Contract"/>
    <s v="KEVIN O CASTRO BENEZARIO"/>
    <s v="Bayamón"/>
    <s v="BECA TEODORO MOSCOSO"/>
    <x v="16"/>
    <n v="5000"/>
    <n v="0"/>
    <m/>
    <m/>
    <m/>
  </r>
  <r>
    <s v="FIE60-2024-2025-0036"/>
    <s v="2025-000682"/>
    <x v="251"/>
    <d v="2025-05-14T00:00:00"/>
    <d v="2026-05-13T00:00:00"/>
    <s v="Contract"/>
    <s v="ADVANCE ACCOUNTING SERVICES, INC."/>
    <s v="San Sebastián"/>
    <s v="Otros- PROGRAMA CAPITAL SEMILLA PARA PYMES EXISTENTES"/>
    <x v="20"/>
    <n v="10000"/>
    <n v="0"/>
    <m/>
    <m/>
    <m/>
  </r>
  <r>
    <s v="FIE60-2024-2025-0036"/>
    <s v="2025-000686"/>
    <x v="251"/>
    <d v="2025-05-14T00:00:00"/>
    <d v="2026-05-13T00:00:00"/>
    <s v="Contract"/>
    <s v="PAPEL Y TIJERAS, INC."/>
    <s v="Las Marías"/>
    <s v="Otros - PROGRAMA CAPITAL SEMILLA PARA PYMES EXISTENTES"/>
    <x v="20"/>
    <n v="2400"/>
    <n v="0"/>
    <m/>
    <m/>
    <m/>
  </r>
  <r>
    <s v="FIE60-2024-2025-0121"/>
    <s v="2025-000261-A"/>
    <x v="252"/>
    <d v="2025-05-15T00:00:00"/>
    <d v="2027-10-15T00:00:00"/>
    <s v="Contract"/>
    <s v="GREEN ACRES R&amp;D PROCESSORS, LLC"/>
    <s v="Mayaguez"/>
    <s v="Empleos básico y localización"/>
    <x v="8"/>
    <n v="52500"/>
    <n v="0"/>
    <m/>
    <n v="52500"/>
    <s v="ROI 645%"/>
  </r>
  <r>
    <s v="FIE60-2024-2025-0217"/>
    <s v="2025-000694"/>
    <x v="252"/>
    <d v="2025-05-15T00:00:00"/>
    <d v="2030-05-14T00:00:00"/>
    <s v="Contract"/>
    <s v="COOPERVISION MANUFACTURING PR LLC"/>
    <s v="Juana Díaz"/>
    <s v="Mejoras de Infraestructura"/>
    <x v="9"/>
    <n v="562500"/>
    <n v="0"/>
    <m/>
    <m/>
    <s v="ROI 24808"/>
  </r>
  <r>
    <s v="FIE60-2024-2025-0182"/>
    <s v="2025-000695"/>
    <x v="252"/>
    <d v="2025-05-15T00:00:00"/>
    <d v="2028-05-14T00:00:00"/>
    <s v="Contract"/>
    <s v="CENTURY FROZEN FOODS, LLC"/>
    <s v="CANÓVANAS"/>
    <s v="Empleos básico y localización"/>
    <x v="8"/>
    <n v="62779"/>
    <n v="0"/>
    <m/>
    <m/>
    <s v="ROI 1062%"/>
  </r>
  <r>
    <s v="FIE60-2024-2025-0183"/>
    <s v="2025-000696"/>
    <x v="252"/>
    <d v="2025-05-15T00:00:00"/>
    <d v="2028-05-14T00:00:00"/>
    <s v="Contract"/>
    <s v="CENTURY FROZEN FOODS, LLC"/>
    <s v="CANOVANAS"/>
    <s v="Maquinaria y Equipo"/>
    <x v="36"/>
    <n v="90000"/>
    <n v="0"/>
    <m/>
    <m/>
    <s v="ROI 1062%"/>
  </r>
  <r>
    <s v="FIE60-2024-2025-0259"/>
    <s v="2025-000697"/>
    <x v="253"/>
    <d v="2025-05-16T00:00:00"/>
    <d v="2030-06-30T00:00:00"/>
    <s v="Contract"/>
    <s v="TERRA NOSTRA, LLC"/>
    <s v="Añasco"/>
    <s v="Maquinaria y Equipo"/>
    <x v="36"/>
    <n v="75000"/>
    <n v="0"/>
    <m/>
    <m/>
    <s v="ROI 147%"/>
  </r>
  <r>
    <s v="FIE60-2024-2025-0258"/>
    <s v="2025-000698"/>
    <x v="253"/>
    <d v="2025-05-16T00:00:00"/>
    <d v="2029-06-30T00:00:00"/>
    <s v="Contract"/>
    <s v="TERRA NOSTRA, LLC"/>
    <s v="Añasco"/>
    <s v="Empleos básico y localización"/>
    <x v="8"/>
    <n v="26250"/>
    <n v="0"/>
    <m/>
    <m/>
    <s v="ROI 147%"/>
  </r>
  <r>
    <s v="FIE60-2024-2025-0036"/>
    <s v="2025-000703"/>
    <x v="253"/>
    <d v="2025-05-16T00:00:00"/>
    <d v="2026-05-15T00:00:00"/>
    <s v="Contract"/>
    <s v="SISTERS, INC"/>
    <s v="San Sebastián"/>
    <s v="Otros"/>
    <x v="35"/>
    <n v="10000"/>
    <n v="0"/>
    <m/>
    <m/>
    <m/>
  </r>
  <r>
    <s v="FIE60-2024-2025-0122"/>
    <s v="2025-000254-A"/>
    <x v="253"/>
    <d v="2025-05-16T00:00:00"/>
    <d v="2027-10-15T00:00:00"/>
    <s v="Contract"/>
    <s v="GREEN ACRES R&amp;D PROCESSORS, LLC"/>
    <s v="San Juan"/>
    <s v="Maquinaria y Equipo"/>
    <x v="36"/>
    <n v="125902"/>
    <n v="0"/>
    <m/>
    <n v="125902"/>
    <s v="ROI 645%"/>
  </r>
  <r>
    <s v="FIE60-2024-2025-0036"/>
    <s v="2025-000701"/>
    <x v="253"/>
    <d v="2025-05-16T00:00:00"/>
    <d v="2026-05-15T00:00:00"/>
    <s v="Contract"/>
    <s v="CSBI LLC"/>
    <s v="Vega Baja"/>
    <s v="Otros"/>
    <x v="35"/>
    <n v="10000"/>
    <n v="0"/>
    <m/>
    <m/>
    <m/>
  </r>
  <r>
    <s v="FIE60-2024-2025-0214"/>
    <s v="2025-000654"/>
    <x v="253"/>
    <d v="2025-05-16T00:00:00"/>
    <d v="2030-05-15T00:00:00"/>
    <s v="Contract"/>
    <s v="EB ALUMINUM SERVICES, INC."/>
    <s v="Cidra"/>
    <s v="Empleos básico y localización"/>
    <x v="8"/>
    <n v="7500"/>
    <n v="0"/>
    <m/>
    <m/>
    <n v="1.47"/>
  </r>
  <r>
    <s v="FIE60-2024-2025-0037"/>
    <s v="2025-000700"/>
    <x v="253"/>
    <d v="2025-05-16T00:00:00"/>
    <d v="2025-06-30T00:00:00"/>
    <s v="Contract"/>
    <s v="CAMARA DE MERCADEO, INDUSTRIA Y DISTRIBUCCION DE ALIMENTOS INC. (MIDA)"/>
    <s v="Guaynabo"/>
    <s v="Otros"/>
    <x v="35"/>
    <n v="14000"/>
    <n v="0"/>
    <m/>
    <m/>
    <m/>
  </r>
  <r>
    <s v="FIE60-2024-2025-0036"/>
    <s v="2025-000716"/>
    <x v="254"/>
    <d v="2025-05-27T00:00:00"/>
    <d v="2026-05-26T00:00:00"/>
    <s v="Contract"/>
    <s v="D'GUSTO LLC"/>
    <s v="Aibonito"/>
    <s v="Otros"/>
    <x v="35"/>
    <n v="10000"/>
    <n v="0"/>
    <m/>
    <m/>
    <m/>
  </r>
  <r>
    <s v="FIE60-2024-2025-0044"/>
    <s v="2025-000718"/>
    <x v="254"/>
    <d v="2025-05-27T00:00:00"/>
    <d v="2025-06-30T00:00:00"/>
    <s v="Contract"/>
    <s v="LUIS CARRASQUILLO LANZO"/>
    <s v="Loíza"/>
    <s v="Incentivo para el Desarrollo de las ArtesanÍas en PR"/>
    <x v="15"/>
    <n v="720"/>
    <n v="0"/>
    <m/>
    <m/>
    <m/>
  </r>
  <r>
    <s v="FIE60-2024-2025-0036"/>
    <s v="2025-000709"/>
    <x v="254"/>
    <d v="2025-05-27T00:00:00"/>
    <d v="2026-05-26T00:00:00"/>
    <s v="Contract"/>
    <s v="CPBM RETAIL, LLC"/>
    <s v="San Juan"/>
    <s v="Otros"/>
    <x v="35"/>
    <n v="5000"/>
    <n v="0"/>
    <m/>
    <m/>
    <m/>
  </r>
  <r>
    <s v="FIE60-2024-2025-0036"/>
    <s v="2025-000713"/>
    <x v="254"/>
    <d v="2025-05-27T00:00:00"/>
    <d v="2026-05-26T00:00:00"/>
    <s v="Contract"/>
    <s v="ENHORABUENA K &amp; A INC"/>
    <s v="San Juan"/>
    <s v="Otros"/>
    <x v="35"/>
    <n v="10000"/>
    <n v="0"/>
    <m/>
    <m/>
    <m/>
  </r>
  <r>
    <s v="FIE60-2024-2025-0036"/>
    <s v="2025-000717"/>
    <x v="254"/>
    <d v="2025-05-27T00:00:00"/>
    <d v="2026-05-26T00:00:00"/>
    <s v="Contract"/>
    <s v="MO SMOKE &amp; CO INC"/>
    <s v="Carolina"/>
    <s v="Otros"/>
    <x v="35"/>
    <n v="25000"/>
    <n v="0"/>
    <m/>
    <m/>
    <m/>
  </r>
  <r>
    <s v="FIE60-2024-2025-0036"/>
    <s v="2025-000719"/>
    <x v="254"/>
    <d v="2025-05-27T00:00:00"/>
    <d v="2026-05-26T00:00:00"/>
    <s v="Contract"/>
    <s v="EGS &amp; ASSOCIATES INC"/>
    <s v="San Juan"/>
    <s v="Otros"/>
    <x v="35"/>
    <n v="3000"/>
    <n v="0"/>
    <m/>
    <m/>
    <m/>
  </r>
  <r>
    <s v="FIE60-2024-2025-0036"/>
    <s v="2025-000708"/>
    <x v="254"/>
    <d v="2025-05-27T00:00:00"/>
    <d v="2026-05-26T00:00:00"/>
    <s v="Contract"/>
    <s v="PHYSIOTHERAPY REHABILITATION SERVICES INC"/>
    <s v="Bayamón"/>
    <s v="Otros"/>
    <x v="35"/>
    <n v="10000"/>
    <n v="0"/>
    <m/>
    <m/>
    <m/>
  </r>
  <r>
    <s v="FIE60-2024-2025-0036"/>
    <s v="2025-000711"/>
    <x v="254"/>
    <d v="2025-05-27T00:00:00"/>
    <d v="2026-05-26T00:00:00"/>
    <s v="Contract"/>
    <s v="MYE CORP"/>
    <s v="Moca"/>
    <s v="Otros"/>
    <x v="35"/>
    <n v="10000"/>
    <n v="0"/>
    <m/>
    <m/>
    <m/>
  </r>
  <r>
    <s v="FIE60-2024-2025-0036"/>
    <s v="2025-000720"/>
    <x v="254"/>
    <d v="2025-05-27T00:00:00"/>
    <d v="2026-05-26T00:00:00"/>
    <s v="Contract"/>
    <s v="LUIS M FONTAN PAGAN H/N/C FONTAN TAX &amp; ACCOUNTING"/>
    <s v="Morovis"/>
    <s v="Otros"/>
    <x v="35"/>
    <n v="10000"/>
    <n v="0"/>
    <m/>
    <m/>
    <m/>
  </r>
  <r>
    <s v="FIE60-2024-2025-0036"/>
    <s v="2025-000721"/>
    <x v="254"/>
    <d v="2025-05-27T00:00:00"/>
    <d v="2026-05-26T00:00:00"/>
    <s v="Contract"/>
    <s v="ANGELICA PEREZ MARQUEZ H/N/C ISSES MAKEUP &amp; HAIR STUDIO"/>
    <s v="Las Piedras"/>
    <s v="Otros"/>
    <x v="35"/>
    <n v="2000"/>
    <n v="0"/>
    <m/>
    <m/>
    <m/>
  </r>
  <r>
    <s v="FIE60-2024-2025-0036"/>
    <s v="2025-000722"/>
    <x v="254"/>
    <d v="2025-05-27T00:00:00"/>
    <d v="2026-05-26T00:00:00"/>
    <s v="Contract"/>
    <s v="ENTRE PASTA Y HOJALDRE"/>
    <s v="Carolina"/>
    <s v="Otros"/>
    <x v="35"/>
    <n v="10000"/>
    <n v="0"/>
    <m/>
    <m/>
    <m/>
  </r>
  <r>
    <s v="FIE60-2024-2025-0036"/>
    <s v="2025-000715"/>
    <x v="254"/>
    <d v="2025-05-27T00:00:00"/>
    <d v="2026-05-26T00:00:00"/>
    <s v="Contract"/>
    <s v="FRANKIE NIEVES GUZMAN H/N/C WAVES SEAFOOD RESTAURANT"/>
    <s v="Aguada"/>
    <s v="Otros"/>
    <x v="35"/>
    <n v="10000"/>
    <n v="0"/>
    <m/>
    <m/>
    <m/>
  </r>
  <r>
    <s v="FIE60-2024-2025-0036"/>
    <s v="2025-000723"/>
    <x v="254"/>
    <d v="2025-05-27T00:00:00"/>
    <d v="2026-05-26T00:00:00"/>
    <s v="Contract"/>
    <s v="TORRES MARRERO LLC"/>
    <s v="Guaynabo"/>
    <s v="Otros"/>
    <x v="35"/>
    <n v="5000"/>
    <n v="0"/>
    <m/>
    <m/>
    <m/>
  </r>
  <r>
    <s v="FIE60-2024-2025-0036"/>
    <s v="2025-000710"/>
    <x v="254"/>
    <d v="2025-05-27T00:00:00"/>
    <d v="2026-05-26T00:00:00"/>
    <s v="Contract"/>
    <s v="SOL JANELY RIVERA FERNANDEZ H/N/C SALONE SI BELLEZA"/>
    <s v="Naranjito"/>
    <s v="Otros"/>
    <x v="35"/>
    <n v="5000"/>
    <n v="0"/>
    <m/>
    <m/>
    <m/>
  </r>
  <r>
    <s v="FIE60-2024-2025-0158"/>
    <s v="2025-000355-A"/>
    <x v="255"/>
    <d v="2025-05-30T00:00:00"/>
    <d v="2025-12-31T00:00:00"/>
    <s v="Contract"/>
    <s v="MENTOR TECHNICAL GROUP CORP"/>
    <s v="Caguas"/>
    <s v="Otros"/>
    <x v="41"/>
    <n v="125000"/>
    <n v="0"/>
    <m/>
    <n v="125000"/>
    <m/>
  </r>
  <r>
    <s v="FIE60-2024-2025-0048"/>
    <s v="2025-000751"/>
    <x v="256"/>
    <d v="2025-06-03T00:00:00"/>
    <d v="2025-06-30T00:00:00"/>
    <s v="Contract"/>
    <s v="PUERTO RICO FILM FESTIVAL CORP. "/>
    <s v="Cabo Rojo"/>
    <s v="Otros"/>
    <x v="35"/>
    <n v="14800"/>
    <n v="0"/>
    <m/>
    <m/>
    <m/>
  </r>
  <r>
    <s v="FIE-2019-2002-IIP-0026"/>
    <s v="2021-000309"/>
    <x v="257"/>
    <d v="2021-05-12T00:00:00"/>
    <d v="2022-11-11T00:00:00"/>
    <s v="Cancelled"/>
    <s v="DESTILERIA COQUI, INC."/>
    <s v="MAYAGÜEZ"/>
    <s v="Bebidas alcohólicas y alcohol etílico"/>
    <x v="10"/>
    <n v="50000"/>
    <n v="1923.7"/>
    <n v="48076.3"/>
    <n v="0"/>
    <s v="23892%.  Se canceló balance por instrucciones de Jamille Muriente 03-27-2024"/>
  </r>
  <r>
    <s v="FIE60-2024-2025-0035"/>
    <s v="2025-000525"/>
    <x v="217"/>
    <d v="2025-02-27T00:00:00"/>
    <d v="2027-12-31T00:00:00"/>
    <s v="Contract"/>
    <s v="MARÍA F DOS SANTOS"/>
    <s v="SAN JUAN"/>
    <s v="BECA TEODORO MOSCOSO"/>
    <x v="16"/>
    <n v="25000"/>
    <n v="0"/>
    <n v="5000"/>
    <n v="20000"/>
    <m/>
  </r>
  <r>
    <s v="FIE60-2024-2025-0048"/>
    <s v="2025-000477"/>
    <x v="258"/>
    <d v="2025-02-13T00:00:00"/>
    <d v="2025-05-30T00:00:00"/>
    <s v="Contract"/>
    <s v="ARDUENGO, LLC"/>
    <s v="SAN JUAN"/>
    <s v="Cortometraje El Chico Nuevo"/>
    <x v="35"/>
    <n v="10000"/>
    <n v="0"/>
    <n v="5000"/>
    <n v="5000"/>
    <m/>
  </r>
  <r>
    <s v="FIE60-2023-2024-0047"/>
    <s v="2023-002390-A"/>
    <x v="259"/>
    <d v="2024-02-07T00:00:00"/>
    <d v="2025-06-15T00:00:00"/>
    <s v="Contract"/>
    <s v="YMPIC HC CORP / OLYMPIC LAUNDRY"/>
    <s v="HUMACAO"/>
    <s v="Lavandería Comercial"/>
    <x v="24"/>
    <n v="50000"/>
    <n v="0"/>
    <n v="50000"/>
    <n v="0"/>
    <s v="Programa de apoyo a empresarios minoritarios"/>
  </r>
  <r>
    <s v="FIE60-2024-2025-0313"/>
    <s v="2025-000764"/>
    <x v="260"/>
    <d v="2025-06-04T00:00:00"/>
    <d v="2028-06-30T00:00:00"/>
    <s v="Contract"/>
    <s v="HELADERIA COSTAS, INC"/>
    <s v="CAGUAS"/>
    <s v="Empleo básico y localización"/>
    <x v="8"/>
    <n v="5250"/>
    <n v="0"/>
    <m/>
    <n v="5250"/>
    <s v="ROI 5742%"/>
  </r>
  <r>
    <s v="FIE60-2024-2025-0036"/>
    <s v="2025-000761"/>
    <x v="260"/>
    <d v="2025-06-04T00:00:00"/>
    <d v="2026-06-03T00:00:00"/>
    <s v="Contract"/>
    <s v="TONY ALVAREZ RENTAL"/>
    <s v="Comerío"/>
    <s v="Otros / Capital Semilla Pymes Existentes"/>
    <x v="20"/>
    <n v="10000"/>
    <n v="0"/>
    <m/>
    <n v="10000"/>
    <m/>
  </r>
  <r>
    <s v="FIE60-2024-2025-0036"/>
    <s v="2025-000767"/>
    <x v="261"/>
    <d v="2025-06-11T00:00:00"/>
    <d v="2026-12-10T00:00:00"/>
    <s v="Contract"/>
    <s v="CENTRO MEDICO VETERINARIO GUAYNABO, INC"/>
    <s v="Guaynabo"/>
    <s v="Otros - mercadeo para empresas locales pymes"/>
    <x v="31"/>
    <n v="5000"/>
    <n v="0"/>
    <m/>
    <n v="5000"/>
    <m/>
  </r>
  <r>
    <s v="FIE60-2024-2025-0226"/>
    <s v="2025-000771"/>
    <x v="261"/>
    <d v="2025-06-11T00:00:00"/>
    <d v="2026-06-30T00:00:00"/>
    <s v="Contract"/>
    <s v="BORINQUEN BISCUITS CORP"/>
    <s v="Yauco"/>
    <s v="Maquinaria y Equipo"/>
    <x v="10"/>
    <n v="45000"/>
    <n v="0"/>
    <m/>
    <n v="45000"/>
    <n v="14.23"/>
  </r>
  <r>
    <s v="FIE60-2024-2025-0307"/>
    <s v="2025-000769"/>
    <x v="261"/>
    <d v="2025-06-11T00:00:00"/>
    <d v="2028-06-30T00:00:00"/>
    <s v="Contract"/>
    <s v="OSMI ENTERPRISES, INC D/B/A SIGNS &amp; MEDIA"/>
    <s v="San Juan"/>
    <s v="Maquinaria y Equipo"/>
    <x v="10"/>
    <n v="74592"/>
    <n v="0"/>
    <m/>
    <n v="74592"/>
    <n v="3.1"/>
  </r>
  <r>
    <s v="FIE60-2024-2025-0306"/>
    <s v="2025-000770"/>
    <x v="261"/>
    <d v="2025-06-11T00:00:00"/>
    <d v="2028-06-30T00:00:00"/>
    <s v="Contract"/>
    <s v="OSMI ENTERPRISES, INC D/B/A SIGNS &amp; MEDIA"/>
    <s v="San Juan"/>
    <s v="Empleo básico y localización"/>
    <x v="8"/>
    <n v="11250"/>
    <n v="0"/>
    <m/>
    <n v="11250"/>
    <n v="3.1"/>
  </r>
  <r>
    <s v="FIE60-2024-2025-0036"/>
    <s v="2025-000777"/>
    <x v="262"/>
    <d v="2025-06-13T00:00:00"/>
    <d v="2026-06-12T00:00:00"/>
    <s v="Contract"/>
    <s v="AISHA FUEL CORP"/>
    <s v="Fajardo"/>
    <s v="Otros -Capital Semilla para Pymes Existentes"/>
    <x v="20"/>
    <n v="10000"/>
    <n v="0"/>
    <m/>
    <n v="10000"/>
    <m/>
  </r>
  <r>
    <s v="FIE60-2024-2025-0036"/>
    <s v="2025-000778"/>
    <x v="262"/>
    <d v="2025-06-13T00:00:00"/>
    <d v="2026-06-12T00:00:00"/>
    <s v="Contract"/>
    <s v="PM COMM LLC"/>
    <s v="San Sebastián"/>
    <s v="Otros - Capital Semilla para Pymes de Nueva Creación"/>
    <x v="20"/>
    <n v="4000"/>
    <n v="0"/>
    <m/>
    <n v="4000"/>
    <m/>
  </r>
  <r>
    <s v="FIE60-2024-2025-0036"/>
    <s v="2025-000779"/>
    <x v="262"/>
    <d v="2025-06-13T00:00:00"/>
    <d v="2026-06-12T00:00:00"/>
    <s v="Contract"/>
    <s v="TRUCKARS, INC"/>
    <s v="San Juan"/>
    <s v="Otros - Capital Semilla para Pymes Existentes"/>
    <x v="20"/>
    <n v="10000"/>
    <n v="0"/>
    <m/>
    <n v="10000"/>
    <m/>
  </r>
  <r>
    <s v="FIE60-2024-2025-0036"/>
    <s v="2025-000776"/>
    <x v="262"/>
    <d v="2025-06-13T00:00:00"/>
    <d v="2026-06-12T00:00:00"/>
    <s v="Contract"/>
    <s v="I&amp;M INVESTMENT GROUP, LLC"/>
    <s v="San Juan"/>
    <s v="Otros - Capital Semilla para Pymes Existentes"/>
    <x v="20"/>
    <n v="10000"/>
    <n v="0"/>
    <m/>
    <n v="10000"/>
    <m/>
  </r>
  <r>
    <s v="FIE60-2024-2025-0036"/>
    <s v="2025-000775"/>
    <x v="262"/>
    <d v="2025-06-13T00:00:00"/>
    <d v="2026-06-12T00:00:00"/>
    <s v="Contract"/>
    <s v="AUTO SELECTION CORP"/>
    <s v="Aguada"/>
    <s v="Otros - Capital Semilla para Pymes Existentes"/>
    <x v="20"/>
    <n v="10000"/>
    <n v="0"/>
    <m/>
    <n v="10000"/>
    <m/>
  </r>
  <r>
    <s v="FIE60-2024-2025-0323"/>
    <s v="2025-000782"/>
    <x v="263"/>
    <d v="2025-06-17T00:00:00"/>
    <d v="2026-12-16T00:00:00"/>
    <s v="Contract"/>
    <s v="DULZURA BORINCANA, INC."/>
    <s v="Moca"/>
    <s v="Incentivo para Actividades de Mercadeo"/>
    <x v="32"/>
    <n v="50000"/>
    <n v="0"/>
    <m/>
    <n v="50000"/>
    <n v="43.53"/>
  </r>
  <r>
    <s v="FIE60-2024-2025-0257"/>
    <s v="2025-000783"/>
    <x v="263"/>
    <d v="2025-06-17T00:00:00"/>
    <d v="2030-06-30T00:00:00"/>
    <s v="Contract"/>
    <s v="T-SHIRT PRINT EXPRESS, INC"/>
    <s v="Caguas"/>
    <s v="Maquinaria y Equipo"/>
    <x v="10"/>
    <n v="133000"/>
    <n v="0"/>
    <m/>
    <n v="133000"/>
    <n v="2.0299999999999998"/>
  </r>
  <r>
    <s v="FIE60-2024-2025-0133"/>
    <s v="2025-000796"/>
    <x v="264"/>
    <d v="2025-06-18T00:00:00"/>
    <d v="2026-06-17T00:00:00"/>
    <s v="Contract"/>
    <s v="HAIPRIORI, LLC"/>
    <s v="San Juan"/>
    <s v="Otros - Casco Urbano Río Piedras"/>
    <x v="35"/>
    <n v="10000"/>
    <n v="0"/>
    <m/>
    <n v="10000"/>
    <m/>
  </r>
  <r>
    <s v="FIE60-2024-2025-0036"/>
    <s v="2025-000798"/>
    <x v="264"/>
    <d v="2025-06-18T00:00:00"/>
    <d v="2026-06-17T00:00:00"/>
    <s v="Contract"/>
    <s v="HENRIQUEZ MOROS, LLC"/>
    <s v="Ponce"/>
    <s v="Otros - Capital Semilla para Pymes Existentes"/>
    <x v="20"/>
    <n v="10000"/>
    <n v="0"/>
    <m/>
    <n v="10000"/>
    <m/>
  </r>
  <r>
    <s v="FIE60-2024-2025-0036"/>
    <s v="2025-000786"/>
    <x v="264"/>
    <d v="2025-06-18T00:00:00"/>
    <d v="2026-06-17T00:00:00"/>
    <s v="Contract"/>
    <s v="DELIA ROJAS FIGUEROA H/N/C PANADERIA LAS PIEDRAS"/>
    <s v="Aguada"/>
    <s v="Otros - Capital Semilla para Pymes Existentes"/>
    <x v="20"/>
    <n v="10000"/>
    <n v="0"/>
    <m/>
    <n v="10000"/>
    <m/>
  </r>
  <r>
    <s v="FIE60-2024-2025-0036"/>
    <s v="2025-000795"/>
    <x v="264"/>
    <d v="2025-06-18T00:00:00"/>
    <d v="2026-06-17T00:00:00"/>
    <s v="Contract"/>
    <s v="CR EMERGENCY SERVICES CP"/>
    <s v="Ponce"/>
    <s v="Otros - Capital Semilla para Pymes Existentes"/>
    <x v="35"/>
    <n v="10000"/>
    <n v="0"/>
    <m/>
    <n v="10000"/>
    <m/>
  </r>
  <r>
    <s v="FIE60-2024-2025-0036"/>
    <s v="2025-000802"/>
    <x v="264"/>
    <d v="2025-06-18T00:00:00"/>
    <d v="2026-06-17T00:00:00"/>
    <s v="Contract"/>
    <s v="SMARTECH, LLC"/>
    <s v="Ponce"/>
    <s v="Otros - mercadeo para empresas locales pymes"/>
    <x v="31"/>
    <n v="5000"/>
    <n v="0"/>
    <m/>
    <n v="5000"/>
    <m/>
  </r>
  <r>
    <s v="FIE60-2024-2025-0036"/>
    <s v="2025-000799"/>
    <x v="264"/>
    <d v="2025-06-18T00:00:00"/>
    <d v="2026-06-17T00:00:00"/>
    <s v="Contract"/>
    <s v="BENJAMIN COLON H/N/C MECANICA JIMMY"/>
    <s v="Moca"/>
    <s v="Otros - Capital Semilla para Pymes Existentes"/>
    <x v="20"/>
    <n v="10000"/>
    <n v="0"/>
    <m/>
    <n v="10000"/>
    <m/>
  </r>
  <r>
    <s v="FIE60-2024-2025-0036"/>
    <s v="2025-000803"/>
    <x v="264"/>
    <d v="2025-06-18T00:00:00"/>
    <d v="2026-06-17T00:00:00"/>
    <s v="Contract"/>
    <s v="SHEILA OTERO RIVERA H/N/C MAXBILLING"/>
    <s v="Morovis"/>
    <s v="Otros - mercadeo para empresas locales pymes"/>
    <x v="31"/>
    <n v="10000"/>
    <n v="0"/>
    <m/>
    <n v="10000"/>
    <m/>
  </r>
  <r>
    <s v="FIE60-2024-2025-0036"/>
    <s v="2025-000800"/>
    <x v="264"/>
    <d v="2025-06-18T00:00:00"/>
    <d v="2026-06-17T00:00:00"/>
    <s v="Contract"/>
    <s v="KELVIN MENDEZ H/N/C KMG AUTO SERVICES"/>
    <s v="Moca"/>
    <s v="Otros - Capital Semilla para Pymes Existentes"/>
    <x v="20"/>
    <n v="10000"/>
    <n v="0"/>
    <m/>
    <n v="10000"/>
    <m/>
  </r>
  <r>
    <s v="FIE60-2024-2025-0036"/>
    <s v="2025-000791"/>
    <x v="264"/>
    <d v="2025-06-18T00:00:00"/>
    <d v="2026-06-17T00:00:00"/>
    <s v="Contract"/>
    <s v="GEOSUR, LLC"/>
    <s v="Ponce"/>
    <s v="Otros - Capital Semilla para Pymes Existentes"/>
    <x v="20"/>
    <n v="10000"/>
    <n v="0"/>
    <m/>
    <n v="10000"/>
    <m/>
  </r>
  <r>
    <s v="FIE60-2024-2025-0133"/>
    <s v="2025-000788"/>
    <x v="264"/>
    <d v="2025-06-18T00:00:00"/>
    <d v="2026-06-17T00:00:00"/>
    <s v="Contract"/>
    <s v="FLOR, LLC"/>
    <s v="San Juan"/>
    <s v="Otros - Casco Urbano Río Piedras"/>
    <x v="35"/>
    <n v="10000"/>
    <n v="0"/>
    <m/>
    <n v="10000"/>
    <m/>
  </r>
  <r>
    <s v="FIE60-2024-2025-0133"/>
    <s v="2025-000789"/>
    <x v="264"/>
    <d v="2025-06-18T00:00:00"/>
    <d v="2026-06-17T00:00:00"/>
    <s v="Contract"/>
    <s v="CARIBBEAN CRAFT FOOD, LLC"/>
    <s v="San Juan"/>
    <s v="Otros - Casco Urbano Río Piedras"/>
    <x v="35"/>
    <n v="10000"/>
    <n v="0"/>
    <m/>
    <n v="10000"/>
    <m/>
  </r>
  <r>
    <s v="FIE60-2024-2025-0036"/>
    <s v="2025-000794"/>
    <x v="264"/>
    <d v="2025-06-18T00:00:00"/>
    <d v="2026-06-17T00:00:00"/>
    <s v="Contract"/>
    <s v="CIDRA BODY PARTS &amp; JUNKER, INC"/>
    <s v="Cayey"/>
    <s v="Otros - Capital Semilla para Pymes Existentes"/>
    <x v="20"/>
    <n v="5000"/>
    <n v="0"/>
    <m/>
    <n v="5000"/>
    <m/>
  </r>
  <r>
    <s v="FIE60-2024-2025-0036"/>
    <s v="2025-000790"/>
    <x v="264"/>
    <d v="2025-06-18T00:00:00"/>
    <d v="2026-06-17T00:00:00"/>
    <s v="Contract"/>
    <s v="EDGAR X RIVERA H/N/C FURRY PETS"/>
    <s v="Caguas"/>
    <s v="Otros - Capital Semilla para Pymes Existentes"/>
    <x v="20"/>
    <n v="10000"/>
    <n v="0"/>
    <m/>
    <n v="10000"/>
    <m/>
  </r>
  <r>
    <s v="FIE60-2024-2025-0133"/>
    <s v="2025-000787"/>
    <x v="264"/>
    <d v="2025-06-18T00:00:00"/>
    <d v="2026-06-17T00:00:00"/>
    <s v="Contract"/>
    <s v="CD BRAVO, INC"/>
    <s v="San Juan"/>
    <s v="Otros - Casco Urbano Río Piedras"/>
    <x v="35"/>
    <n v="10000"/>
    <n v="0"/>
    <m/>
    <n v="10000"/>
    <m/>
  </r>
  <r>
    <s v="FIE60-2024-2025-0036"/>
    <s v="2025-000793"/>
    <x v="264"/>
    <d v="2025-06-18T00:00:00"/>
    <d v="2026-06-17T00:00:00"/>
    <s v="Contract"/>
    <s v="BTA GROUP, LLC"/>
    <s v="Isabela"/>
    <s v="Otros - Capital Semilla para Pymes de Nueva Creación"/>
    <x v="20"/>
    <n v="4100"/>
    <n v="0"/>
    <m/>
    <n v="4100"/>
    <m/>
  </r>
  <r>
    <s v="FIE60-2024-2025-0036"/>
    <s v="2025-000801"/>
    <x v="264"/>
    <d v="2025-06-18T00:00:00"/>
    <d v="2026-06-17T00:00:00"/>
    <s v="Contract"/>
    <s v="ACC TAX AND ACCOUNTING, LLC"/>
    <s v="San Germán"/>
    <s v="Otros - mercadeo para empresas locales pymes"/>
    <x v="31"/>
    <n v="5000"/>
    <n v="0"/>
    <m/>
    <n v="5000"/>
    <m/>
  </r>
  <r>
    <s v="FIE60-2024-2025-0230"/>
    <s v="2025-000737"/>
    <x v="264"/>
    <d v="2025-06-18T00:00:00"/>
    <d v="2028-06-17T00:00:00"/>
    <s v="Contract"/>
    <s v="LOYD SANABRIA HERNANDEZ H/N/C AVICOLA SANTA FE"/>
    <s v="Salinas"/>
    <s v="Empleo básico y localización"/>
    <x v="8"/>
    <n v="6000"/>
    <n v="0"/>
    <m/>
    <n v="6000"/>
    <n v="52.44"/>
  </r>
  <r>
    <s v="FIE60-2024-2025-0081"/>
    <s v="2025-000395-A"/>
    <x v="264"/>
    <d v="2025-06-18T00:00:00"/>
    <d v="2025-06-30T00:00:00"/>
    <s v="Contract"/>
    <s v="ASOCIACION HECHO EN PUERTO RICO, INC."/>
    <s v="San Juan"/>
    <s v="Otros - Proyectos Estratégicos"/>
    <x v="42"/>
    <n v="70000"/>
    <n v="0"/>
    <n v="27000"/>
    <n v="43000"/>
    <m/>
  </r>
  <r>
    <s v="FIE60-2024-2025-0036"/>
    <s v="2025-000797"/>
    <x v="264"/>
    <d v="2025-06-18T00:00:00"/>
    <d v="2025-06-17T00:00:00"/>
    <s v="Contract"/>
    <s v="COLON AND RODRIGUEZ"/>
    <s v="Jayuya"/>
    <s v="Otros - Capital Semilla para Pymes Existentes"/>
    <x v="20"/>
    <n v="10000"/>
    <n v="0"/>
    <m/>
    <n v="10000"/>
    <m/>
  </r>
  <r>
    <s v="FIE60-2024-2025-0207"/>
    <s v="2025-000792"/>
    <x v="264"/>
    <d v="2025-06-18T00:00:00"/>
    <d v="2026-05-31T00:00:00"/>
    <s v="Contract"/>
    <s v="FRIENDS OF PUERTO RICO CORP."/>
    <s v="San Sebastián"/>
    <s v="Otros / Aliados Estratégicos"/>
    <x v="7"/>
    <n v="34000"/>
    <n v="0"/>
    <m/>
    <n v="34000"/>
    <m/>
  </r>
  <r>
    <s v="FIE60-2024-2025-0044"/>
    <s v="2025-000804"/>
    <x v="264"/>
    <d v="2025-06-18T00:00:00"/>
    <d v="2026-06-17T00:00:00"/>
    <s v="Contract"/>
    <s v="MUNICIPIO DE LAJAS"/>
    <s v="Lajas"/>
    <s v="Incentivo para el Desarrollo de las Artesanías en PR"/>
    <x v="15"/>
    <n v="8583.7099999999991"/>
    <n v="0"/>
    <m/>
    <n v="8583.7099999999991"/>
    <m/>
  </r>
  <r>
    <s v="FIE60-2024-2025-0035"/>
    <s v="2025-000809"/>
    <x v="265"/>
    <d v="2025-06-20T00:00:00"/>
    <d v="2025-12-31T00:00:00"/>
    <s v="Contract"/>
    <s v="JAN L TORRES RIVERA"/>
    <s v="Cidra"/>
    <s v="Beca Teodoro Moscoso"/>
    <x v="16"/>
    <n v="7500"/>
    <n v="0"/>
    <m/>
    <n v="7500"/>
    <m/>
  </r>
  <r>
    <s v="FIE60-2024-2025-0360"/>
    <s v="2025-000821"/>
    <x v="266"/>
    <d v="2025-06-24T00:00:00"/>
    <d v="2027-06-30T00:00:00"/>
    <s v="Contract"/>
    <s v="DLP OPTIMUM SERVICES CORP"/>
    <s v="Canóvanas"/>
    <s v="Maquinaria y Equipo"/>
    <x v="10"/>
    <n v="175500"/>
    <n v="0"/>
    <m/>
    <n v="175500"/>
    <n v="0.8"/>
  </r>
  <r>
    <s v="FIE60-2024-2025-0359"/>
    <s v="2025-000822"/>
    <x v="266"/>
    <d v="2025-06-24T00:00:00"/>
    <d v="2027-12-23T00:00:00"/>
    <s v="Contract"/>
    <s v="DLP OPTIMUM SERVICES CORP"/>
    <s v="Canóvanas"/>
    <s v="Incentivo para Actividades de Mercadeo"/>
    <x v="32"/>
    <n v="50000"/>
    <n v="0"/>
    <m/>
    <n v="50000"/>
    <n v="0.8"/>
  </r>
  <r>
    <s v="FIE60-2024-2025-0358"/>
    <s v="2025-000820"/>
    <x v="266"/>
    <d v="2025-06-24T00:00:00"/>
    <d v="2028-06-23T00:00:00"/>
    <s v="Contract"/>
    <s v="DLP OPTIMUM SERVICES CORP"/>
    <s v="Canóvanas"/>
    <s v="Empleo básico y localización"/>
    <x v="8"/>
    <n v="23437.5"/>
    <n v="0"/>
    <m/>
    <n v="23437.5"/>
    <n v="0.8"/>
  </r>
  <r>
    <s v="FIE60-2024-2025-0032"/>
    <s v="2025-000815"/>
    <x v="266"/>
    <d v="2025-06-24T00:00:00"/>
    <d v="2026-06-30T00:00:00"/>
    <s v="Contract"/>
    <s v="UNIVERSIDAD POLITECNICA DE P.R."/>
    <s v="San Juan"/>
    <s v="Otros - Aliados Estratégicos"/>
    <x v="7"/>
    <n v="80000"/>
    <n v="0"/>
    <m/>
    <n v="80000"/>
    <m/>
  </r>
  <r>
    <s v="FIE60-2024-2025-0032"/>
    <s v="2025-000818"/>
    <x v="267"/>
    <d v="2025-06-25T00:00:00"/>
    <d v="2025-12-31T00:00:00"/>
    <s v="Contract"/>
    <s v="FUNDACION SILA M. CALDERON, INC."/>
    <s v="San Juan"/>
    <s v="Otros - Aliados Estratégicos"/>
    <x v="7"/>
    <n v="25000"/>
    <n v="0"/>
    <m/>
    <n v="25000"/>
    <m/>
  </r>
  <r>
    <s v="FIE60-2024-2025-0340"/>
    <s v="2025-000824"/>
    <x v="267"/>
    <d v="2025-06-25T00:00:00"/>
    <d v="2030-06-24T00:00:00"/>
    <s v="Contract"/>
    <s v="E.T.H. CARGO SERVICES, INC"/>
    <s v="Carolina"/>
    <s v="Empleo básico y localización"/>
    <x v="8"/>
    <n v="15000"/>
    <n v="0"/>
    <m/>
    <n v="15000"/>
    <n v="5.41"/>
  </r>
  <r>
    <s v="FIE60-2024-2025-0037"/>
    <s v="2025-000835"/>
    <x v="268"/>
    <d v="2025-06-27T00:00:00"/>
    <d v="2025-12-31T00:00:00"/>
    <s v="Contract"/>
    <s v="MANAGEMENT TEMPORARY &amp; CONTRACT EMPLOYMENT SERVICES, INC"/>
    <s v="San Juan"/>
    <s v="Otros - Servicios Profesionales Promoexport"/>
    <x v="41"/>
    <n v="249700"/>
    <n v="0"/>
    <m/>
    <n v="249700"/>
    <m/>
  </r>
  <r>
    <s v="FIE60-2024-2025-0084"/>
    <s v="2025-000195"/>
    <x v="179"/>
    <d v="2024-09-05T00:00:00"/>
    <d v="2025-12-15T00:00:00"/>
    <s v="Contract"/>
    <s v="VITONY BAKERY, INC"/>
    <s v="CATAÑO"/>
    <s v="Elaboración de productos de repostería"/>
    <x v="43"/>
    <n v="30000"/>
    <n v="0"/>
    <n v="12214.02"/>
    <n v="17785.98"/>
    <n v="4.7300000000000004"/>
  </r>
  <r>
    <s v="FIE60-2024-2025-0126"/>
    <s v="2025-000280"/>
    <x v="269"/>
    <d v="2024-10-18T00:00:00"/>
    <d v="2026-06-30T00:00:00"/>
    <s v="Contract"/>
    <s v="ECHAR PA LANTE"/>
    <s v="Guaynabo"/>
    <s v="Community-Building y el establecimiento de un programa de emprendimiento basado en tecnología en el eLAB de Río Piedras"/>
    <x v="35"/>
    <n v="155000"/>
    <n v="0"/>
    <n v="125000"/>
    <n v="30000"/>
    <m/>
  </r>
  <r>
    <s v="FIE60-2024-2025-0004"/>
    <s v="2025-000131-A"/>
    <x v="270"/>
    <d v="2025-03-11T00:00:00"/>
    <d v="2025-06-30T00:00:00"/>
    <s v="Contract"/>
    <s v="ECOVAL LLC"/>
    <s v="SAN JUAN"/>
    <s v="Servicios consultivos y administrativos para asistirle en la Oficina de Incentivos"/>
    <x v="41"/>
    <n v="693875"/>
    <n v="0"/>
    <n v="545536.25"/>
    <n v="148338.75"/>
    <s v="Otros"/>
  </r>
  <r>
    <s v="FIE60-2024-2025-0032"/>
    <s v="2025-000139-A"/>
    <x v="271"/>
    <d v="2024-08-12T00:00:00"/>
    <d v="2025-06-30T00:00:00"/>
    <s v="Contract"/>
    <s v="ENACTUS PUERTO RICO, INC."/>
    <s v="CAROLINA"/>
    <s v="Otros-Programa de Desarrollo de la Juventud"/>
    <x v="35"/>
    <n v="97500"/>
    <n v="0"/>
    <n v="87500"/>
    <n v="10000"/>
    <m/>
  </r>
  <r>
    <s v="FIE60-2024-2025-0062"/>
    <s v="2025-000143-A"/>
    <x v="272"/>
    <d v="2024-08-26T00:00:00"/>
    <d v="2024-06-30T00:00:00"/>
    <s v="Contract"/>
    <s v="ABEXUS, LLC"/>
    <s v="SAN JUAN"/>
    <s v="Otros- Servicios profesionales"/>
    <x v="41"/>
    <n v="835392"/>
    <n v="0"/>
    <n v="589392"/>
    <n v="246000"/>
    <m/>
  </r>
  <r>
    <s v="FIE60-2024-2025-0044"/>
    <s v="2025-000147"/>
    <x v="165"/>
    <d v="2024-08-28T00:00:00"/>
    <d v="2024-12-31T00:00:00"/>
    <s v="Contract"/>
    <s v="CENTRO COMUNITARIO RVDA INES J FIGUEROA"/>
    <s v="SAN JUAN"/>
    <s v="TALLER RENGLÓN DE CERÁMICA BÁSICO"/>
    <x v="15"/>
    <n v="2880"/>
    <n v="0"/>
    <n v="2880"/>
    <n v="0"/>
    <m/>
  </r>
  <r>
    <s v="FIE60-2024-2025-0044"/>
    <s v="2025-000168"/>
    <x v="164"/>
    <d v="2024-08-30T00:00:00"/>
    <d v="2024-12-31T00:00:00"/>
    <s v="Contract"/>
    <s v="ISABEL QUINONES MARTIN"/>
    <s v="SAN JUAN"/>
    <s v="PROGRAMA DE APRENDIZAJE DE ARTES TRADICIONALES"/>
    <x v="15"/>
    <n v="1440"/>
    <n v="0"/>
    <n v="1440"/>
    <n v="0"/>
    <m/>
  </r>
  <r>
    <s v="FIE60-2024-2025-0044"/>
    <s v="2025-000169"/>
    <x v="164"/>
    <d v="2024-08-30T00:00:00"/>
    <d v="2024-12-31T00:00:00"/>
    <s v="Contract"/>
    <s v="OLGA R. COSTA ALFARO"/>
    <s v="CAGUAS"/>
    <s v="PROGRAMA DE APRENDIZAJE DE ARTES TRADICIONALES"/>
    <x v="15"/>
    <n v="1440"/>
    <n v="0"/>
    <n v="1440"/>
    <n v="0"/>
    <m/>
  </r>
  <r>
    <s v="FIE60-2024-2025-0067"/>
    <s v="2025-000194"/>
    <x v="179"/>
    <d v="2024-09-05T00:00:00"/>
    <d v="2029-06-30T00:00:00"/>
    <s v="Contract"/>
    <s v="VITONY BAKERY, INC"/>
    <s v="CATAÑO"/>
    <s v="ELABORACIÓN DE PRODUCTOS DE REPOSTERÍA"/>
    <x v="8"/>
    <n v="2250"/>
    <n v="0"/>
    <m/>
    <n v="2250"/>
    <s v="ROI 473%"/>
  </r>
  <r>
    <s v="FIE60-2024-2025-0117"/>
    <s v="2025-000263"/>
    <x v="273"/>
    <d v="2024-07-01T00:00:00"/>
    <d v="2027-10-16T00:00:00"/>
    <s v="Contract"/>
    <s v="BULE-BAR"/>
    <s v="COAMO"/>
    <s v="MANUFACTURA DE BEBIDAS Y JUGOS NATURALES"/>
    <x v="8"/>
    <n v="5250"/>
    <n v="0"/>
    <m/>
    <n v="5250"/>
    <s v="ROI 1600%"/>
  </r>
  <r>
    <s v="FIE60-2024-2025-0044"/>
    <s v="2025-000307"/>
    <x v="274"/>
    <d v="2024-11-09T00:00:00"/>
    <d v="2024-12-31T00:00:00"/>
    <s v="Contract"/>
    <s v="CENTRO CULTURAL JAYUYANO, INC."/>
    <s v="JAYUYA"/>
    <s v="AUSPICIO"/>
    <x v="15"/>
    <n v="4400"/>
    <n v="0"/>
    <m/>
    <n v="4400"/>
    <m/>
  </r>
  <r>
    <s v="FIE60-2024-2025-0043"/>
    <s v="2025-000320"/>
    <x v="184"/>
    <d v="2024-11-18T00:00:00"/>
    <d v="2027-11-18T00:00:00"/>
    <s v="Contract"/>
    <s v="XIALERYS ORTIZ COLON"/>
    <s v="BARRANQUITAS"/>
    <s v="CONTRATO ARTESANÍAS"/>
    <x v="15"/>
    <n v="1000"/>
    <n v="0"/>
    <n v="1000"/>
    <n v="0"/>
    <m/>
  </r>
  <r>
    <s v="FIE60-2024-2025-0036"/>
    <s v="2025-000341"/>
    <x v="201"/>
    <d v="2024-11-22T00:00:00"/>
    <d v="2026-05-21T00:00:00"/>
    <s v="Contract"/>
    <s v="MQC GROUP LLC"/>
    <s v="GUAYNABO"/>
    <s v="CAPITAL SEMILLA"/>
    <x v="31"/>
    <n v="5000"/>
    <n v="0"/>
    <n v="800"/>
    <n v="4200"/>
    <m/>
  </r>
  <r>
    <s v="FIE60-2024-2025-0044"/>
    <s v="2025-000370"/>
    <x v="275"/>
    <d v="2024-12-10T00:00:00"/>
    <d v="2024-12-31T00:00:00"/>
    <s v="Contract"/>
    <s v="CENTRO CULTURAL DR MANUEL QUEVEDO BAEZ"/>
    <s v="SABANA GRANDE"/>
    <s v="AUSPICIO"/>
    <x v="15"/>
    <n v="5635"/>
    <n v="0"/>
    <n v="5304"/>
    <n v="331"/>
    <m/>
  </r>
  <r>
    <s v="FIE60-2024-2025-0163"/>
    <s v="2025-000394"/>
    <x v="276"/>
    <d v="2024-12-17T00:00:00"/>
    <d v="2026-01-30T00:00:00"/>
    <s v="Contract"/>
    <s v="SAN JUAN ARTISAN DISTILLERS, LLC"/>
    <s v="VEGA ALTA"/>
    <s v="Elaboración de Ron Artesanal"/>
    <x v="8"/>
    <n v="6562.5"/>
    <n v="0"/>
    <m/>
    <n v="6562.5"/>
    <s v="ROI 2468%"/>
  </r>
  <r>
    <s v="FIE60-2024-2025-0036"/>
    <s v="2025-000422"/>
    <x v="208"/>
    <d v="2024-12-26T00:00:00"/>
    <d v="2025-12-25T00:00:00"/>
    <s v="Contract"/>
    <s v="SUN INVESTMENT COMPANY INC H/N/C HOTEL SAN JORGE"/>
    <s v="BAYAMÓN"/>
    <s v="PROGRAMA CAPITAL SEMILLA PARA PYMES EXISTENTES"/>
    <x v="44"/>
    <n v="10000"/>
    <n v="0"/>
    <m/>
    <n v="10000"/>
    <m/>
  </r>
  <r>
    <s v="FIE60-2024-2025-0046"/>
    <s v="2025-000424-A"/>
    <x v="254"/>
    <d v="2025-05-27T00:00:00"/>
    <d v="2025-12-26T00:00:00"/>
    <s v="Contract"/>
    <s v="PROJECT MAKERS, LLC"/>
    <s v="SAN JUAN"/>
    <s v="PROGRAMA PYMES INNOVADORAS"/>
    <x v="45"/>
    <n v="150000"/>
    <n v="0"/>
    <m/>
    <n v="150000"/>
    <m/>
  </r>
  <r>
    <s v="FIE60-2024-2025-0044"/>
    <s v="2025-000480"/>
    <x v="277"/>
    <d v="2025-02-19T00:00:00"/>
    <d v="2025-06-30T00:00:00"/>
    <s v="Contract"/>
    <s v="HACIENDA VILLA SOTOMAYOR"/>
    <s v="ADJUNTAS"/>
    <s v="AUSPICIO"/>
    <x v="15"/>
    <n v="6790"/>
    <n v="0"/>
    <n v="6490"/>
    <n v="300"/>
    <m/>
  </r>
  <r>
    <s v="FIE60-2024-2025-0044"/>
    <s v="2025-000484"/>
    <x v="214"/>
    <d v="2025-02-24T00:00:00"/>
    <d v="2025-06-30T00:00:00"/>
    <s v="Contract"/>
    <s v="OLGA R. COSTA ALFARO"/>
    <s v="CAGUAS"/>
    <s v="PROGRAMA DE INCENTIVO AL ARTESANO"/>
    <x v="15"/>
    <n v="1440"/>
    <n v="0"/>
    <n v="1440"/>
    <n v="0"/>
    <m/>
  </r>
  <r>
    <s v="FIE60-2024-2025-0044"/>
    <s v="2025-000493"/>
    <x v="216"/>
    <d v="2025-02-26T00:00:00"/>
    <d v="2025-06-30T00:00:00"/>
    <s v="Contract"/>
    <s v="GILDA I PROENZA FLECHA"/>
    <s v="PONCE"/>
    <s v="PROGRAMA DE INCENTIVO AL ARTESANO"/>
    <x v="15"/>
    <n v="1440"/>
    <n v="0"/>
    <n v="1440"/>
    <n v="0"/>
    <m/>
  </r>
  <r>
    <s v="FIE60-2024-2025-0044"/>
    <s v="2025-000501"/>
    <x v="217"/>
    <d v="2025-02-27T00:00:00"/>
    <d v="2025-06-30T00:00:00"/>
    <s v="Contract"/>
    <s v="OSCAR FELICIANO GUADALUPE"/>
    <s v="SAN JUAN"/>
    <s v="PROGRAMA DE INCENTIVO AL ARTESANO"/>
    <x v="15"/>
    <n v="1440"/>
    <n v="0"/>
    <n v="1440"/>
    <n v="0"/>
    <m/>
  </r>
  <r>
    <s v="FIE60-2024-2025-0044"/>
    <s v="2025-000517"/>
    <x v="217"/>
    <d v="2025-02-27T00:00:00"/>
    <d v="2025-06-30T00:00:00"/>
    <s v="Contract"/>
    <s v="MILAGROS BORRERO FRATICELLI"/>
    <s v="PEÑUELAS"/>
    <s v="PROGRAMA DE INCENTIVO AL ARTESANO"/>
    <x v="15"/>
    <n v="1440"/>
    <n v="0"/>
    <n v="1440"/>
    <n v="0"/>
    <m/>
  </r>
  <r>
    <s v="FIE60-2024-2025-0044"/>
    <s v="2025-000518"/>
    <x v="217"/>
    <d v="2025-02-27T00:00:00"/>
    <d v="2025-06-30T00:00:00"/>
    <s v="Contract"/>
    <s v="GEORGE ROMERO NAVEDO"/>
    <s v="PONCE"/>
    <s v="PROGRAMA DE INCENTIVO AL ARTESANO"/>
    <x v="15"/>
    <n v="1440"/>
    <m/>
    <n v="1420"/>
    <n v="20"/>
    <m/>
  </r>
  <r>
    <s v="FIE60-2024-2025-0044"/>
    <s v="2025-000519"/>
    <x v="217"/>
    <d v="2025-02-27T00:00:00"/>
    <d v="2025-06-30T00:00:00"/>
    <s v="Contract"/>
    <s v="LUIS A BARRETO MARTINEZ"/>
    <s v="PONCE"/>
    <s v="PROGRAMA DE INCENTIVO AL ARTESANO"/>
    <x v="15"/>
    <n v="1440"/>
    <n v="0"/>
    <n v="1440"/>
    <n v="0"/>
    <m/>
  </r>
  <r>
    <s v="FIE60-2024-2025-0044"/>
    <s v="2025-000520"/>
    <x v="217"/>
    <d v="2025-02-27T00:00:00"/>
    <d v="2025-06-30T00:00:00"/>
    <s v="Contract"/>
    <s v="PEREZ TORRES, JACKELINE"/>
    <s v="SANTA ISABEL"/>
    <s v="PROGRAMA DE INCENTIVO AL ARTESANO"/>
    <x v="15"/>
    <n v="1440"/>
    <n v="0"/>
    <n v="1440"/>
    <n v="0"/>
    <m/>
  </r>
  <r>
    <s v="FIE60-2024-2025-0044"/>
    <s v="2025-000521"/>
    <x v="217"/>
    <d v="2025-02-27T00:00:00"/>
    <d v="2025-06-30T00:00:00"/>
    <s v="Contract"/>
    <s v="IVETTE BOVER SEDA"/>
    <s v="MAYAGUEZ"/>
    <s v="PROGRAMA DE INCENTIVO AL ARTESANO"/>
    <x v="15"/>
    <n v="1440"/>
    <n v="0"/>
    <n v="1440"/>
    <n v="0"/>
    <m/>
  </r>
  <r>
    <s v="FIE60-2024-2025-0044"/>
    <s v="2025-000522"/>
    <x v="217"/>
    <d v="2025-02-27T00:00:00"/>
    <d v="2025-06-30T00:00:00"/>
    <s v="Contract"/>
    <s v="VINCENTY LUGO, ELIZA"/>
    <s v="LAJAS"/>
    <s v="PROGRAMA DE INCENTIVO AL ARTESANO"/>
    <x v="15"/>
    <n v="1440"/>
    <n v="0"/>
    <n v="1440"/>
    <n v="0"/>
    <m/>
  </r>
  <r>
    <s v="FIE60-2024-2025-0036"/>
    <s v="2025-000526"/>
    <x v="217"/>
    <d v="2025-02-27T00:00:00"/>
    <d v="2026-02-26T00:00:00"/>
    <s v="Contract"/>
    <s v="LTG BUSINESS ALLY LLC"/>
    <s v="CAROLINA"/>
    <s v="ACTIVIDADES DE MERCADEO LOCAL Y AL EXTERIOR PARA EMPRESAS LOCALES (PYMES)"/>
    <x v="35"/>
    <n v="5000"/>
    <n v="0"/>
    <n v="750"/>
    <n v="4250"/>
    <m/>
  </r>
  <r>
    <s v="FIE60-2024-2025-0036"/>
    <s v="2025-000527"/>
    <x v="217"/>
    <d v="2025-02-27T00:00:00"/>
    <d v="2026-02-26T00:00:00"/>
    <s v="Contract"/>
    <s v="CANO HANDYMAN SERVICES LLC"/>
    <s v="CANÓVANAS"/>
    <s v="PROGRAMA CAPITAL SEMILLA PARA PYMES EXISTENTES"/>
    <x v="44"/>
    <n v="5000"/>
    <n v="0"/>
    <n v="5000"/>
    <n v="0"/>
    <m/>
  </r>
  <r>
    <s v="FIE60-2024-2025-0044"/>
    <s v="2025-000531"/>
    <x v="222"/>
    <d v="2025-03-07T00:00:00"/>
    <d v="2025-06-30T00:00:00"/>
    <s v="Contract"/>
    <s v="LOPEZ RUIZ, GABRIEL"/>
    <s v="JUNCOS"/>
    <s v="AUSPICIO"/>
    <x v="15"/>
    <n v="1440"/>
    <n v="0"/>
    <n v="1440"/>
    <n v="0"/>
    <m/>
  </r>
  <r>
    <s v="FIE60-2024-2025-0044"/>
    <s v="2025-000536"/>
    <x v="222"/>
    <d v="2025-03-07T00:00:00"/>
    <d v="2025-06-30T00:00:00"/>
    <s v="Contract"/>
    <s v="DAIRENE J. MORALES ROSARIO"/>
    <s v="MOROVIS"/>
    <s v="AUSPICIO"/>
    <x v="15"/>
    <n v="1440"/>
    <n v="0"/>
    <n v="1440"/>
    <n v="0"/>
    <m/>
  </r>
  <r>
    <s v="FIE60-2024-2025-0044"/>
    <s v="2025-000543"/>
    <x v="222"/>
    <d v="2025-03-07T00:00:00"/>
    <d v="2025-06-30T00:00:00"/>
    <s v="Contract"/>
    <s v="XIOMARA ROMERO LOPEZ"/>
    <s v="SAN JUAN"/>
    <s v="AUSPICIO"/>
    <x v="15"/>
    <n v="1440"/>
    <n v="0"/>
    <n v="1440"/>
    <n v="0"/>
    <m/>
  </r>
  <r>
    <s v="FIE60-2024-2025-0044"/>
    <s v="2025-000546"/>
    <x v="222"/>
    <d v="2025-03-07T00:00:00"/>
    <d v="2025-06-30T00:00:00"/>
    <s v="Contract"/>
    <s v="HECTOR F CANCEL ORTIZ"/>
    <s v="BAYAMÓN"/>
    <s v="AUSPICIO"/>
    <x v="15"/>
    <n v="1440"/>
    <n v="0"/>
    <n v="1440"/>
    <n v="0"/>
    <m/>
  </r>
  <r>
    <s v="FIE60-2024-2025-0044"/>
    <s v="2025-000548"/>
    <x v="222"/>
    <d v="2025-03-07T00:00:00"/>
    <d v="2025-06-30T00:00:00"/>
    <s v="Contract"/>
    <s v="MARIBEL RUIZ TORRES"/>
    <s v="SAN JUAN"/>
    <s v="AUSPICIO"/>
    <x v="15"/>
    <n v="1440"/>
    <n v="0"/>
    <n v="1440"/>
    <n v="0"/>
    <m/>
  </r>
  <r>
    <s v="FIE60-2024-2025-0220"/>
    <s v="2025-000551"/>
    <x v="222"/>
    <d v="2025-03-07T00:00:00"/>
    <d v="2028-03-06T00:00:00"/>
    <s v="Contract"/>
    <s v="IGPR, INC."/>
    <s v="YABUCOA"/>
    <s v="MANUFACTURA Y ENSAMBLAJE DE MÁQUINAS DE EMPAQUE Y PROCESOS"/>
    <x v="8"/>
    <n v="10000"/>
    <n v="0"/>
    <m/>
    <n v="10000"/>
    <s v="ROI 134%"/>
  </r>
  <r>
    <s v="FIE60-2024-2025-0044"/>
    <s v="2025-000563"/>
    <x v="224"/>
    <d v="2025-03-13T00:00:00"/>
    <d v="2025-06-30T00:00:00"/>
    <s v="Contract"/>
    <s v="MARIBEL MALDONADO CATALA"/>
    <s v="NARANJITO"/>
    <s v="AUSPICIO"/>
    <x v="15"/>
    <n v="1440"/>
    <n v="0"/>
    <n v="1440"/>
    <n v="0"/>
    <m/>
  </r>
  <r>
    <s v="FIE60-2024-2025-0044"/>
    <s v="2025-000574"/>
    <x v="230"/>
    <d v="2025-03-23T00:00:00"/>
    <d v="2025-06-30T00:00:00"/>
    <s v="Contract"/>
    <s v="SHEILA R BALLESTE TORRES"/>
    <s v="CAROLINA"/>
    <s v="AUSPICIO"/>
    <x v="15"/>
    <n v="1440"/>
    <n v="0"/>
    <n v="1440"/>
    <n v="0"/>
    <m/>
  </r>
  <r>
    <s v="FIE60-2024-2025-0036"/>
    <s v="2025-000661"/>
    <x v="250"/>
    <d v="2025-05-06T00:00:00"/>
    <d v="2026-05-05T00:00:00"/>
    <s v="Contract"/>
    <s v="JOSE L GONZALEZ ORTIZ H/N/C TOÑITAS CAFE"/>
    <s v="SAN JUAN"/>
    <s v="PROGRAMA CAPITAL SEMILLA PARA PYMES EXISTENTES"/>
    <x v="35"/>
    <n v="25000"/>
    <n v="0"/>
    <n v="12500"/>
    <n v="12500"/>
    <m/>
  </r>
  <r>
    <s v="FIE60-2024-2025-0043"/>
    <s v="2025-000668"/>
    <x v="250"/>
    <d v="2025-05-06T00:00:00"/>
    <d v="2025-06-30T00:00:00"/>
    <s v="Contract"/>
    <s v="JUAN RIOS NEGRON"/>
    <s v="BAYAMÓN"/>
    <s v="PROGRAMA DE INCENTIVO AL ARTESANO"/>
    <x v="15"/>
    <n v="1000"/>
    <n v="0"/>
    <m/>
    <n v="1000"/>
    <m/>
  </r>
  <r>
    <s v="FIE60-2024-2025-0036"/>
    <s v="2025-000676"/>
    <x v="251"/>
    <d v="2025-05-14T00:00:00"/>
    <d v="2026-05-13T00:00:00"/>
    <s v="Contract"/>
    <s v="CHRISTIAN X SALGADO MERCADO H/N/C LA DISPUTA FOOD TRUCK"/>
    <s v="SAN JUAN"/>
    <s v="PROGRAMA CAPITAL SEMILLA PARA PYMES EXISTENTES"/>
    <x v="35"/>
    <n v="10000"/>
    <n v="0"/>
    <m/>
    <n v="10000"/>
    <m/>
  </r>
  <r>
    <s v="FIE60-2024-2025-0032"/>
    <s v="2025-000693"/>
    <x v="253"/>
    <d v="2025-05-16T00:00:00"/>
    <d v="2025-06-30T00:00:00"/>
    <s v="Contract"/>
    <s v="BRIGHT CLIENTS COMMUNICATIONS, INC"/>
    <s v="SAN JUAN"/>
    <s v="CONTRATO DE AUSPICIO"/>
    <x v="35"/>
    <n v="5000"/>
    <n v="0"/>
    <n v="5000"/>
    <n v="0"/>
    <m/>
  </r>
  <r>
    <s v="FIE60-2024-2025-0043"/>
    <s v="2025-000699"/>
    <x v="253"/>
    <d v="2025-05-16T00:00:00"/>
    <d v="2025-06-30T00:00:00"/>
    <s v="Contract"/>
    <s v="LORNA L GOMEZ ROSA"/>
    <s v="SAN LORENZO"/>
    <s v="PROGRAMA DE INCENTIVO AL ARTESANO"/>
    <x v="15"/>
    <n v="1000"/>
    <n v="0"/>
    <n v="1000"/>
    <n v="0"/>
    <m/>
  </r>
  <r>
    <s v="FIE60-2024-2025-0336"/>
    <s v="2025-000705"/>
    <x v="278"/>
    <d v="2025-05-22T00:00:00"/>
    <d v="2025-06-30T00:00:00"/>
    <s v="Contract"/>
    <s v="ASOCIACION DE INDUSTRIALES DE PUERTO RICO"/>
    <s v="SAN JUAN"/>
    <s v="AUSPICIO"/>
    <x v="35"/>
    <n v="100000"/>
    <n v="0"/>
    <n v="100000"/>
    <n v="0"/>
    <m/>
  </r>
  <r>
    <s v="FIE60-2024-2025-0036"/>
    <s v="2025-000712"/>
    <x v="254"/>
    <d v="2025-05-27T00:00:00"/>
    <d v="2026-05-26T00:00:00"/>
    <s v="Contract"/>
    <s v="MELISSA VIANA CUADRADO H/N/C LEARNING WITH MS. VIANA"/>
    <s v="SAN SEBASTIÁN"/>
    <s v="PROGRAMA CAPITAL SEMILLA PARA PYMES EXISTENTES"/>
    <x v="35"/>
    <n v="10000"/>
    <n v="0"/>
    <m/>
    <n v="10000"/>
    <m/>
  </r>
  <r>
    <s v="FIE60-2024-2025-0036"/>
    <s v="2025-000714"/>
    <x v="254"/>
    <d v="2025-05-27T00:00:00"/>
    <d v="2026-05-26T00:00:00"/>
    <s v="Contract"/>
    <s v="YANIRA APONTE GOMEZ H/N/C RESTAURANTE EL MEXICANO"/>
    <s v="AGUAS BUENAS"/>
    <s v="PROGRAMA CAPITAL SEMILLA PARA PYMES EXISTENTES"/>
    <x v="35"/>
    <n v="6000"/>
    <n v="0"/>
    <m/>
    <n v="6000"/>
    <m/>
  </r>
  <r>
    <s v="FIE60-2024-2025-0043"/>
    <s v="2025-000731"/>
    <x v="279"/>
    <d v="2025-06-02T00:00:00"/>
    <d v="2025-06-30T00:00:00"/>
    <s v="Contract"/>
    <s v="ANA MARTINEZ COLON"/>
    <s v="BAYAMÓN"/>
    <s v="PROGRAMA DE INCENTIVO AL ARTESANO"/>
    <x v="15"/>
    <n v="1000"/>
    <n v="0"/>
    <m/>
    <n v="1000"/>
    <m/>
  </r>
  <r>
    <s v="FIE60-2024-2025-0279"/>
    <s v="2025-000735"/>
    <x v="254"/>
    <d v="2025-05-27T00:00:00"/>
    <d v="2030-05-26T00:00:00"/>
    <s v="Contract"/>
    <s v="LORMAR OPTICAL DISTRIBUTORS, INC."/>
    <s v="CAGUAS"/>
    <s v="LENTES OFTÁLMICOS"/>
    <x v="8"/>
    <n v="7500"/>
    <n v="0"/>
    <m/>
    <n v="7500"/>
    <s v="ROI 79%"/>
  </r>
  <r>
    <s v="FIE60-2024-2025-0302"/>
    <s v="2025-000736"/>
    <x v="254"/>
    <d v="2025-05-27T00:00:00"/>
    <d v="2028-05-26T00:00:00"/>
    <s v="Contract"/>
    <s v="AC CULINARY GROUP, LLC"/>
    <s v="BAYAMÓN"/>
    <s v="SOFRITOS"/>
    <x v="10"/>
    <n v="465000"/>
    <n v="0"/>
    <m/>
    <n v="465000"/>
    <s v="ROI 270%"/>
  </r>
  <r>
    <s v="FIE60-2024-2025-0227"/>
    <s v="2025-000738"/>
    <x v="254"/>
    <d v="2025-05-27T00:00:00"/>
    <d v="2026-11-26T00:00:00"/>
    <s v="Contract"/>
    <s v="BORINQUEN BISCUITS CORP"/>
    <s v="YAUCO"/>
    <s v="GALLETAS DE SODA,GALLETAS DULCES Y OTRAS"/>
    <x v="26"/>
    <n v="2000"/>
    <n v="0"/>
    <m/>
    <n v="2000"/>
    <s v="ROI 1473%"/>
  </r>
  <r>
    <s v="FIE60-2024-2025-0304"/>
    <s v="2025-000739"/>
    <x v="254"/>
    <d v="2025-05-27T00:00:00"/>
    <d v="2030-05-26T00:00:00"/>
    <s v="Contract"/>
    <s v="PRINTFINITY, LLC"/>
    <s v="MAYAGÜEZ"/>
    <s v="Manufactura de rótulos y productos promocionales"/>
    <x v="10"/>
    <n v="60000"/>
    <n v="0"/>
    <m/>
    <n v="60000"/>
    <s v="ROI 473%"/>
  </r>
  <r>
    <s v="FIE60-2024-2025-0305"/>
    <s v="2025-000740"/>
    <x v="254"/>
    <d v="2025-05-27T00:00:00"/>
    <d v="2026-11-26T00:00:00"/>
    <s v="Contract"/>
    <s v="PRINTFINITY, LLC"/>
    <s v="MAYAGUEZ"/>
    <s v="Manufactura de rótulos y productos promocionales"/>
    <x v="43"/>
    <n v="50000"/>
    <n v="0"/>
    <m/>
    <n v="50000"/>
    <s v="ROI 473%"/>
  </r>
  <r>
    <s v="FIE60-2024-2025-0269"/>
    <s v="2025-000741"/>
    <x v="254"/>
    <d v="2025-05-27T00:00:00"/>
    <d v="2031-05-26T00:00:00"/>
    <s v="Contract"/>
    <s v="INTEGRA CI, INC."/>
    <s v="AÑASCO"/>
    <s v="MANUFACTURA DE COLAGENO(MEDIANTE PROCESO DE LIOFILIACION)"/>
    <x v="9"/>
    <n v="400000"/>
    <n v="0"/>
    <m/>
    <n v="400000"/>
    <s v="ROI 695%"/>
  </r>
  <r>
    <s v="FIE60-2024-2025-0267"/>
    <s v="2025-000742"/>
    <x v="254"/>
    <d v="2025-05-27T00:00:00"/>
    <d v="2030-05-26T00:00:00"/>
    <s v="Contract"/>
    <s v="INTEGRA CI, INC."/>
    <s v="AÑASCO"/>
    <s v="MANUFACTURA DE COLAGENO(MEDIANTE PROCESO DE LIOFILIACION)"/>
    <x v="8"/>
    <n v="1010625"/>
    <n v="0"/>
    <m/>
    <n v="1010625"/>
    <s v="ROI 695%"/>
  </r>
  <r>
    <s v="FIE60-2024-2025-0268"/>
    <s v="2025-000743"/>
    <x v="254"/>
    <d v="2025-05-27T00:00:00"/>
    <d v="2025-05-27T00:00:00"/>
    <s v="Contract"/>
    <s v="INTEGRA CI, INC."/>
    <s v="AÑASCO"/>
    <s v="MANUFACTURA DE COLAGENO(MEDIANTE PROCESO DE LIOFILIACION)"/>
    <x v="10"/>
    <n v="3900000"/>
    <n v="0"/>
    <m/>
    <n v="3900000"/>
    <s v="ROI 695%"/>
  </r>
  <r>
    <s v="FIE60-2024-2025-0303"/>
    <s v="2025-000744"/>
    <x v="254"/>
    <d v="2025-05-27T00:00:00"/>
    <d v="2028-05-26T00:00:00"/>
    <s v="Contract"/>
    <s v="PRINTFINITY, LLC"/>
    <s v="MAYAGÜEZ"/>
    <s v="Manufactura de rótulos y productos promocionales"/>
    <x v="8"/>
    <n v="14062.5"/>
    <n v="0"/>
    <m/>
    <n v="14062.5"/>
    <s v="ROI 473%"/>
  </r>
  <r>
    <s v="FIE60-2024-2025-0312"/>
    <s v="2025-000745"/>
    <x v="254"/>
    <d v="2025-05-27T00:00:00"/>
    <d v="2030-05-26T00:00:00"/>
    <s v="Contract"/>
    <s v="CARIBBEAN REFRESCOS, INC"/>
    <s v="CIDRA"/>
    <s v="CONCENTRADO Y BASE DE BEBIDAS"/>
    <x v="10"/>
    <n v="21500000"/>
    <n v="0"/>
    <m/>
    <n v="21500000"/>
    <s v="ROI 22054%"/>
  </r>
  <r>
    <s v="FIE60-2024-2025-0301"/>
    <s v="2025-000746"/>
    <x v="254"/>
    <d v="2025-05-27T00:00:00"/>
    <d v="2028-05-26T00:00:00"/>
    <s v="Contract"/>
    <s v="AC CULINARY GROUP, LLC"/>
    <s v="BAYAMÓN"/>
    <s v="SOFRITOS"/>
    <x v="8"/>
    <n v="20000"/>
    <n v="0"/>
    <m/>
    <n v="20000"/>
    <s v="ROI 270%"/>
  </r>
  <r>
    <s v="FIE60-2024-2025-0030"/>
    <s v="2025-000747"/>
    <x v="254"/>
    <d v="2025-05-27T00:00:00"/>
    <d v="2030-06-26T00:00:00"/>
    <s v="Contract"/>
    <s v="POINT BLANK PROTECTIVE APPAREL &amp; UNIFORMS"/>
    <s v="GUÁNICA"/>
    <s v="Manufactura de vestimenta de protección, uniformes y accesorios"/>
    <x v="12"/>
    <n v="756000"/>
    <n v="0"/>
    <m/>
    <n v="756000"/>
    <s v="ROI 270%"/>
  </r>
  <r>
    <s v="FIE60-2024-2025-0318"/>
    <s v="2025-000748"/>
    <x v="254"/>
    <d v="2025-05-27T00:00:00"/>
    <d v="2030-05-26T00:00:00"/>
    <s v="Contract"/>
    <s v="ORNAMENTACION QUINTANA, INC."/>
    <s v="DORADO"/>
    <s v="ORNAMENTACIÓN"/>
    <x v="10"/>
    <n v="15000"/>
    <n v="0"/>
    <m/>
    <n v="15000"/>
    <s v="ROI 2627%"/>
  </r>
  <r>
    <s v="FIE60-2024-2025-0043"/>
    <s v="2025-000750"/>
    <x v="280"/>
    <d v="2025-05-19T00:00:00"/>
    <d v="2025-06-30T00:00:00"/>
    <s v="Contract"/>
    <s v="ARNALDO FIGUEROA RODRIGUEZ"/>
    <s v="MANATÍ"/>
    <s v="PROGRAMA DE INCENTIVO AL ARTESANO"/>
    <x v="15"/>
    <n v="1000"/>
    <n v="0"/>
    <m/>
    <n v="1000"/>
    <m/>
  </r>
  <r>
    <s v="FIE60-2024-2025-0036"/>
    <s v="2025-000753"/>
    <x v="256"/>
    <d v="2025-06-03T00:00:00"/>
    <d v="2026-06-02T00:00:00"/>
    <s v="Contract"/>
    <s v="TACOXPRESS CAGUAS CORP"/>
    <s v="GURABO"/>
    <s v="PROGRAMA CAPITAL SEMILLA PARA PYMES EXISTENTES"/>
    <x v="44"/>
    <n v="10000"/>
    <n v="0"/>
    <m/>
    <n v="10000"/>
    <m/>
  </r>
  <r>
    <s v="FIE60-2024-2025-0035"/>
    <s v="2025-000754"/>
    <x v="256"/>
    <d v="2025-06-03T00:00:00"/>
    <d v="2025-12-31T00:00:00"/>
    <s v="Contract"/>
    <s v="JUAN C DAVILA RODRIGUEZ"/>
    <s v="VEGA BAJA"/>
    <s v="Beca Teodoro Moscoso Mora"/>
    <x v="16"/>
    <n v="5000"/>
    <n v="0"/>
    <n v="2500"/>
    <n v="2500"/>
    <m/>
  </r>
  <r>
    <s v="FIE60-2024-2025-0036"/>
    <s v="2025-000755"/>
    <x v="256"/>
    <d v="2025-06-03T00:00:00"/>
    <d v="2026-06-02T00:00:00"/>
    <s v="Contract"/>
    <s v="EL CENTRO DEL CRUERO INC"/>
    <s v="TOA BAJA"/>
    <s v="PROGRAMA CAPITAL SEMILLA PARA PYMES EXISTENTES"/>
    <x v="44"/>
    <n v="10000"/>
    <n v="0"/>
    <m/>
    <n v="10000"/>
    <m/>
  </r>
  <r>
    <s v="FIE60-2024-2025-0314"/>
    <s v="2025-000763"/>
    <x v="256"/>
    <d v="2025-06-03T00:00:00"/>
    <d v="2028-06-30T00:00:00"/>
    <s v="Contract"/>
    <s v="HELADERIA COSTAS, INC"/>
    <s v="CAGUAS"/>
    <s v="INCENTIVO MERCADEO"/>
    <x v="43"/>
    <n v="3500"/>
    <n v="0"/>
    <m/>
    <n v="3500"/>
    <s v="ROI 5742%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sh Grant Category">
  <location ref="C8:H28" firstHeaderRow="0" firstDataRow="1" firstDataCol="1"/>
  <pivotFields count="23"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24">
        <item h="1" x="15"/>
        <item h="1" x="22"/>
        <item x="14"/>
        <item x="20"/>
        <item x="8"/>
        <item x="5"/>
        <item h="1" x="17"/>
        <item x="10"/>
        <item x="13"/>
        <item x="21"/>
        <item x="0"/>
        <item x="12"/>
        <item x="11"/>
        <item x="1"/>
        <item x="9"/>
        <item x="2"/>
        <item x="4"/>
        <item x="6"/>
        <item x="7"/>
        <item x="18"/>
        <item h="1" x="16"/>
        <item x="3"/>
        <item x="19"/>
        <item t="default"/>
      </items>
    </pivotField>
    <pivotField dataField="1" numFmtId="44" showAll="0"/>
    <pivotField showAll="0"/>
    <pivotField numFmtId="44" showAll="0"/>
    <pivotField dataField="1" numFmtId="44" showAll="0"/>
    <pivotField dataField="1" showAll="0"/>
    <pivotField dataField="1" showAll="0"/>
    <pivotField dataField="1" showAll="0"/>
    <pivotField showAl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1">
    <field x="12"/>
  </rowFields>
  <rowItems count="20"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Incentive Cash Grant Amount" fld="13" baseField="0" baseItem="0" numFmtId="165"/>
    <dataField name="Incentive Contract Balance" fld="16" baseField="0" baseItem="0" numFmtId="165"/>
    <dataField name="Committed Direct New Hires" fld="17" baseField="12" baseItem="0" numFmtId="3"/>
    <dataField name="Investment" fld="18" baseField="12" baseItem="0" numFmtId="165"/>
    <dataField name="Payroll (New Hires)" fld="19" baseField="12" baseItem="0" numFmtId="165"/>
  </dataFields>
  <formats count="23">
    <format dxfId="1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03">
      <pivotArea collapsedLevelsAreSubtotals="1" fieldPosition="0">
        <references count="1">
          <reference field="12" count="1">
            <x v="0"/>
          </reference>
        </references>
      </pivotArea>
    </format>
    <format dxfId="102">
      <pivotArea dataOnly="0" labelOnly="1" fieldPosition="0">
        <references count="1">
          <reference field="12" count="1">
            <x v="0"/>
          </reference>
        </references>
      </pivotArea>
    </format>
    <format dxfId="101">
      <pivotArea collapsedLevelsAreSubtotals="1" fieldPosition="0">
        <references count="1">
          <reference field="12" count="1">
            <x v="1"/>
          </reference>
        </references>
      </pivotArea>
    </format>
    <format dxfId="100">
      <pivotArea dataOnly="0" labelOnly="1" fieldPosition="0">
        <references count="1">
          <reference field="12" count="1">
            <x v="1"/>
          </reference>
        </references>
      </pivotArea>
    </format>
    <format dxfId="99">
      <pivotArea collapsedLevelsAreSubtotals="1" fieldPosition="0">
        <references count="1">
          <reference field="12" count="1">
            <x v="6"/>
          </reference>
        </references>
      </pivotArea>
    </format>
    <format dxfId="98">
      <pivotArea dataOnly="0" labelOnly="1" fieldPosition="0">
        <references count="1">
          <reference field="12" count="1">
            <x v="6"/>
          </reference>
        </references>
      </pivotArea>
    </format>
    <format dxfId="97">
      <pivotArea collapsedLevelsAreSubtotals="1" fieldPosition="0">
        <references count="1">
          <reference field="12" count="1">
            <x v="20"/>
          </reference>
        </references>
      </pivotArea>
    </format>
    <format dxfId="96">
      <pivotArea dataOnly="0" labelOnly="1" fieldPosition="0">
        <references count="1">
          <reference field="12" count="1">
            <x v="20"/>
          </reference>
        </references>
      </pivotArea>
    </format>
    <format dxfId="95">
      <pivotArea field="12" type="button" dataOnly="0" labelOnly="1" outline="0" axis="axisRow" fieldPosition="0"/>
    </format>
    <format dxfId="9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rowHeaderCaption="FY 2017 to October 2020">
  <location ref="C7:G81" firstHeaderRow="0" firstDataRow="1" firstDataCol="1"/>
  <pivotFields count="23"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numFmtId="44" showAll="0"/>
    <pivotField showAll="0"/>
    <pivotField numFmtId="44" showAll="0"/>
    <pivotField numFmtId="44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sd="0" x="0"/>
        <item x="1"/>
        <item x="2"/>
        <item x="3"/>
        <item x="4"/>
        <item sd="0" x="5"/>
      </items>
    </pivotField>
    <pivotField axis="axisRow" showAll="0" defaultSubtotal="0">
      <items count="7">
        <item sd="0" x="0"/>
        <item x="1"/>
        <item x="2"/>
        <item x="3"/>
        <item x="4"/>
        <item x="5"/>
        <item sd="0" x="6"/>
      </items>
    </pivotField>
  </pivotFields>
  <rowFields count="3">
    <field x="22"/>
    <field x="21"/>
    <field x="2"/>
  </rowFields>
  <rowItems count="74">
    <i>
      <x v="1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2"/>
    </i>
    <i r="1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3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4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5"/>
    </i>
    <i r="1">
      <x v="1"/>
    </i>
    <i r="2">
      <x v="1"/>
    </i>
    <i r="2">
      <x v="2"/>
    </i>
    <i r="2">
      <x v="3"/>
    </i>
    <i r="1">
      <x v="2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rojects" fld="8" subtotal="count" baseField="22" baseItem="1" numFmtId="164"/>
    <dataField name="Committed Direct New Hires " fld="17" baseField="22" baseItem="1" numFmtId="164"/>
    <dataField name="Committed Investment" fld="18" baseField="22" baseItem="1" numFmtId="165"/>
    <dataField name="Committed  Payroll (New Hires)" fld="19" baseField="22" baseItem="1" numFmtId="165"/>
  </dataFields>
  <formats count="17">
    <format dxfId="9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22" type="button" dataOnly="0" labelOnly="1" outline="0" axis="axisRow" fieldPosition="0"/>
    </format>
    <format dxfId="80">
      <pivotArea field="22" type="button" dataOnly="0" labelOnly="1" outline="0" axis="axisRow" fieldPosition="0"/>
    </format>
    <format dxfId="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7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D90167-975C-4706-99F0-6297926720FA}" name="PivotTable2" cacheId="11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7" indent="0" outline="1" outlineData="1" multipleFieldFilters="0" rowHeaderCaption="Cash Grant Category" fieldListSortAscending="1">
  <location ref="C6:E53" firstHeaderRow="0" firstDataRow="1" firstDataCol="1"/>
  <pivotFields count="18">
    <pivotField showAll="0"/>
    <pivotField showAll="0"/>
    <pivotField showAll="0">
      <items count="283">
        <item x="0"/>
        <item x="28"/>
        <item x="2"/>
        <item x="1"/>
        <item x="3"/>
        <item x="8"/>
        <item x="11"/>
        <item x="10"/>
        <item x="9"/>
        <item x="16"/>
        <item x="4"/>
        <item x="6"/>
        <item x="5"/>
        <item x="7"/>
        <item x="12"/>
        <item x="71"/>
        <item x="14"/>
        <item x="15"/>
        <item x="22"/>
        <item x="13"/>
        <item x="58"/>
        <item x="18"/>
        <item x="20"/>
        <item x="23"/>
        <item x="17"/>
        <item x="39"/>
        <item x="24"/>
        <item x="26"/>
        <item x="19"/>
        <item x="32"/>
        <item x="44"/>
        <item x="34"/>
        <item x="25"/>
        <item x="29"/>
        <item x="21"/>
        <item x="40"/>
        <item x="30"/>
        <item x="27"/>
        <item x="104"/>
        <item x="31"/>
        <item x="36"/>
        <item x="33"/>
        <item x="35"/>
        <item x="38"/>
        <item x="61"/>
        <item x="37"/>
        <item x="45"/>
        <item x="42"/>
        <item x="47"/>
        <item x="43"/>
        <item x="46"/>
        <item x="49"/>
        <item x="50"/>
        <item x="48"/>
        <item x="102"/>
        <item x="89"/>
        <item x="53"/>
        <item x="56"/>
        <item x="51"/>
        <item x="79"/>
        <item x="74"/>
        <item x="52"/>
        <item x="59"/>
        <item x="72"/>
        <item x="57"/>
        <item x="54"/>
        <item x="62"/>
        <item x="60"/>
        <item x="63"/>
        <item x="64"/>
        <item x="69"/>
        <item x="65"/>
        <item x="70"/>
        <item x="67"/>
        <item x="68"/>
        <item x="66"/>
        <item x="73"/>
        <item x="78"/>
        <item x="55"/>
        <item x="77"/>
        <item x="75"/>
        <item x="100"/>
        <item x="76"/>
        <item x="80"/>
        <item x="92"/>
        <item x="97"/>
        <item x="84"/>
        <item x="81"/>
        <item x="86"/>
        <item x="87"/>
        <item x="85"/>
        <item x="41"/>
        <item x="82"/>
        <item x="88"/>
        <item x="83"/>
        <item x="90"/>
        <item x="93"/>
        <item x="91"/>
        <item x="95"/>
        <item x="94"/>
        <item x="96"/>
        <item x="99"/>
        <item x="120"/>
        <item x="121"/>
        <item x="124"/>
        <item x="125"/>
        <item x="143"/>
        <item x="144"/>
        <item x="113"/>
        <item x="114"/>
        <item x="101"/>
        <item x="141"/>
        <item x="111"/>
        <item x="108"/>
        <item x="103"/>
        <item x="170"/>
        <item x="105"/>
        <item x="110"/>
        <item x="109"/>
        <item x="112"/>
        <item x="115"/>
        <item x="122"/>
        <item x="117"/>
        <item x="140"/>
        <item x="138"/>
        <item x="148"/>
        <item x="131"/>
        <item x="123"/>
        <item x="118"/>
        <item x="119"/>
        <item x="129"/>
        <item x="137"/>
        <item x="130"/>
        <item x="116"/>
        <item x="149"/>
        <item x="126"/>
        <item x="127"/>
        <item x="128"/>
        <item x="134"/>
        <item x="133"/>
        <item x="132"/>
        <item x="136"/>
        <item x="142"/>
        <item x="139"/>
        <item x="145"/>
        <item x="156"/>
        <item x="151"/>
        <item x="147"/>
        <item x="152"/>
        <item x="150"/>
        <item x="107"/>
        <item x="171"/>
        <item x="153"/>
        <item x="146"/>
        <item x="154"/>
        <item x="167"/>
        <item x="158"/>
        <item x="157"/>
        <item x="155"/>
        <item x="163"/>
        <item x="176"/>
        <item x="162"/>
        <item x="168"/>
        <item x="159"/>
        <item m="1" x="281"/>
        <item x="160"/>
        <item x="161"/>
        <item x="135"/>
        <item x="195"/>
        <item x="165"/>
        <item x="164"/>
        <item x="166"/>
        <item x="179"/>
        <item x="192"/>
        <item x="191"/>
        <item x="193"/>
        <item x="169"/>
        <item x="178"/>
        <item x="194"/>
        <item x="180"/>
        <item x="177"/>
        <item x="172"/>
        <item x="173"/>
        <item x="181"/>
        <item x="174"/>
        <item x="175"/>
        <item x="190"/>
        <item x="185"/>
        <item x="182"/>
        <item x="183"/>
        <item x="189"/>
        <item x="184"/>
        <item x="187"/>
        <item x="186"/>
        <item x="188"/>
        <item x="196"/>
        <item x="197"/>
        <item x="198"/>
        <item x="199"/>
        <item x="200"/>
        <item x="201"/>
        <item x="106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32"/>
        <item x="222"/>
        <item x="223"/>
        <item x="224"/>
        <item x="225"/>
        <item x="226"/>
        <item x="227"/>
        <item x="230"/>
        <item x="228"/>
        <item x="229"/>
        <item x="231"/>
        <item x="233"/>
        <item x="234"/>
        <item x="235"/>
        <item x="236"/>
        <item x="98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47">
        <item x="7"/>
        <item x="30"/>
        <item x="22"/>
        <item x="14"/>
        <item x="8"/>
        <item x="1"/>
        <item x="39"/>
        <item x="23"/>
        <item x="5"/>
        <item x="29"/>
        <item x="25"/>
        <item x="12"/>
        <item x="4"/>
        <item x="24"/>
        <item x="16"/>
        <item x="20"/>
        <item x="31"/>
        <item x="13"/>
        <item x="32"/>
        <item x="43"/>
        <item x="26"/>
        <item x="19"/>
        <item x="36"/>
        <item x="34"/>
        <item x="21"/>
        <item x="28"/>
        <item x="9"/>
        <item x="2"/>
        <item x="40"/>
        <item x="37"/>
        <item x="10"/>
        <item x="3"/>
        <item x="15"/>
        <item x="33"/>
        <item x="18"/>
        <item x="35"/>
        <item x="44"/>
        <item x="42"/>
        <item x="6"/>
        <item x="38"/>
        <item x="45"/>
        <item x="17"/>
        <item x="11"/>
        <item x="0"/>
        <item x="41"/>
        <item x="27"/>
        <item t="default"/>
      </items>
    </pivotField>
    <pivotField dataField="1" numFmtId="166" showAll="0"/>
    <pivotField showAll="0"/>
    <pivotField numFmtId="166" showAll="0"/>
    <pivotField dataField="1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9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2">
    <i>
      <x/>
    </i>
    <i i="1">
      <x v="1"/>
    </i>
  </colItems>
  <dataFields count="2">
    <dataField name="Incentive Cash Grants Amount" fld="10" baseField="0" baseItem="0" numFmtId="165"/>
    <dataField name="Incentive Contract Balance" fld="13" baseField="0" baseItem="0" numFmtId="165"/>
  </dataFields>
  <formats count="21">
    <format dxfId="7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">
      <pivotArea field="9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">
      <pivotArea field="9" type="button" dataOnly="0" labelOnly="1" outline="0" axis="axisRow" fieldPosition="0"/>
    </format>
    <format dxfId="70">
      <pivotArea field="9" type="button" dataOnly="0" labelOnly="1" outline="0" axis="axisRow" fieldPosition="0"/>
    </format>
    <format dxfId="69">
      <pivotArea field="9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field="9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grandRow="1" outline="0" collapsedLevelsAreSubtotals="1" fieldPosition="0"/>
    </format>
    <format dxfId="64">
      <pivotArea dataOnly="0" labelOnly="1" grandRow="1" outline="0" fieldPosition="0"/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dataOnly="0" labelOnly="1" fieldPosition="0">
        <references count="1">
          <reference field="9" count="24">
            <x v="2"/>
            <x v="4"/>
            <x v="5"/>
            <x v="7"/>
            <x v="8"/>
            <x v="11"/>
            <x v="12"/>
            <x v="13"/>
            <x v="14"/>
            <x v="15"/>
            <x v="17"/>
            <x v="20"/>
            <x v="21"/>
            <x v="26"/>
            <x v="27"/>
            <x v="30"/>
            <x v="31"/>
            <x v="32"/>
            <x v="33"/>
            <x v="34"/>
            <x v="38"/>
            <x v="41"/>
            <x v="42"/>
            <x v="43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8B42DD-9775-4F44-AAB3-93D3E0A384B8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showHeaders="0" outline="1" outlineData="1" multipleFieldFilters="0" rowHeaderCaption="Dates ">
  <location ref="B6:C146" firstHeaderRow="1" firstDataRow="1" firstDataCol="1"/>
  <pivotFields count="18">
    <pivotField dataField="1" showAll="0" countASubtotal="1"/>
    <pivotField showAll="0"/>
    <pivotField showAll="0">
      <items count="283">
        <item sd="0" x="0"/>
        <item sd="0" x="28"/>
        <item sd="0" x="2"/>
        <item sd="0" x="1"/>
        <item sd="0" x="3"/>
        <item sd="0" x="8"/>
        <item sd="0" x="11"/>
        <item sd="0" x="10"/>
        <item sd="0" x="9"/>
        <item sd="0" x="16"/>
        <item sd="0" x="4"/>
        <item sd="0" x="6"/>
        <item sd="0" x="5"/>
        <item sd="0" x="7"/>
        <item sd="0" x="12"/>
        <item sd="0" x="71"/>
        <item sd="0" x="14"/>
        <item sd="0" x="15"/>
        <item sd="0" x="22"/>
        <item sd="0" x="13"/>
        <item sd="0" x="58"/>
        <item sd="0" x="18"/>
        <item sd="0" x="20"/>
        <item sd="0" x="23"/>
        <item sd="0" x="17"/>
        <item sd="0" x="39"/>
        <item sd="0" x="24"/>
        <item sd="0" x="26"/>
        <item sd="0" x="19"/>
        <item sd="0" x="32"/>
        <item sd="0" x="44"/>
        <item sd="0" x="34"/>
        <item sd="0" x="25"/>
        <item sd="0" x="29"/>
        <item sd="0" x="21"/>
        <item sd="0" x="40"/>
        <item sd="0" x="30"/>
        <item sd="0" x="27"/>
        <item sd="0" x="104"/>
        <item sd="0" x="31"/>
        <item sd="0" x="36"/>
        <item sd="0" x="33"/>
        <item sd="0" x="35"/>
        <item sd="0" x="38"/>
        <item sd="0" x="61"/>
        <item sd="0" x="37"/>
        <item sd="0" x="45"/>
        <item sd="0" x="42"/>
        <item sd="0" x="47"/>
        <item sd="0" x="43"/>
        <item sd="0" x="46"/>
        <item sd="0" x="49"/>
        <item sd="0" x="50"/>
        <item sd="0" x="48"/>
        <item sd="0" x="102"/>
        <item sd="0" x="89"/>
        <item sd="0" x="53"/>
        <item sd="0" x="56"/>
        <item sd="0" x="51"/>
        <item sd="0" x="79"/>
        <item sd="0" x="74"/>
        <item sd="0" x="52"/>
        <item sd="0" x="59"/>
        <item sd="0" x="72"/>
        <item sd="0" x="57"/>
        <item sd="0" x="54"/>
        <item sd="0" x="62"/>
        <item sd="0" x="60"/>
        <item sd="0" x="63"/>
        <item sd="0" x="64"/>
        <item sd="0" x="69"/>
        <item sd="0" x="65"/>
        <item sd="0" x="70"/>
        <item sd="0" x="67"/>
        <item sd="0" x="68"/>
        <item sd="0" x="66"/>
        <item sd="0" x="73"/>
        <item sd="0" x="78"/>
        <item sd="0" x="55"/>
        <item sd="0" x="77"/>
        <item sd="0" x="75"/>
        <item sd="0" x="100"/>
        <item sd="0" x="76"/>
        <item sd="0" x="80"/>
        <item sd="0" x="92"/>
        <item sd="0" x="97"/>
        <item sd="0" x="84"/>
        <item sd="0" x="81"/>
        <item sd="0" x="86"/>
        <item sd="0" x="87"/>
        <item sd="0" x="85"/>
        <item sd="0" x="41"/>
        <item sd="0" x="82"/>
        <item sd="0" x="88"/>
        <item sd="0" x="83"/>
        <item sd="0" x="90"/>
        <item sd="0" x="93"/>
        <item sd="0" x="91"/>
        <item sd="0" x="95"/>
        <item sd="0" x="94"/>
        <item sd="0" x="96"/>
        <item sd="0" x="99"/>
        <item sd="0" x="120"/>
        <item sd="0" x="121"/>
        <item sd="0" x="124"/>
        <item sd="0" x="125"/>
        <item sd="0" x="143"/>
        <item sd="0" x="144"/>
        <item sd="0" x="113"/>
        <item sd="0" x="114"/>
        <item sd="0" x="101"/>
        <item sd="0" x="141"/>
        <item sd="0" x="111"/>
        <item sd="0" x="108"/>
        <item sd="0" x="103"/>
        <item sd="0" x="170"/>
        <item sd="0" x="105"/>
        <item sd="0" x="110"/>
        <item sd="0" x="109"/>
        <item sd="0" x="112"/>
        <item sd="0" x="115"/>
        <item sd="0" x="122"/>
        <item sd="0" x="117"/>
        <item sd="0" x="140"/>
        <item sd="0" x="138"/>
        <item sd="0" x="148"/>
        <item sd="0" x="131"/>
        <item sd="0" x="123"/>
        <item sd="0" x="118"/>
        <item sd="0" x="119"/>
        <item sd="0" x="129"/>
        <item sd="0" x="137"/>
        <item sd="0" x="130"/>
        <item sd="0" x="116"/>
        <item sd="0" x="149"/>
        <item sd="0" x="126"/>
        <item sd="0" x="127"/>
        <item sd="0" x="128"/>
        <item sd="0" x="134"/>
        <item sd="0" x="133"/>
        <item sd="0" x="132"/>
        <item sd="0" x="136"/>
        <item sd="0" x="142"/>
        <item sd="0" x="139"/>
        <item sd="0" x="145"/>
        <item sd="0" x="156"/>
        <item x="151"/>
        <item sd="0" x="147"/>
        <item sd="0" x="152"/>
        <item sd="0" x="150"/>
        <item sd="0" x="107"/>
        <item sd="0" x="171"/>
        <item sd="0" x="153"/>
        <item sd="0" x="146"/>
        <item sd="0" x="154"/>
        <item sd="0" x="167"/>
        <item sd="0" x="158"/>
        <item sd="0" x="157"/>
        <item sd="0" x="155"/>
        <item sd="0" x="163"/>
        <item sd="0" x="176"/>
        <item sd="0" x="162"/>
        <item sd="0" x="168"/>
        <item sd="0" x="159"/>
        <item sd="0" m="1" x="281"/>
        <item sd="0" x="160"/>
        <item sd="0" x="161"/>
        <item sd="0" x="135"/>
        <item sd="0" x="195"/>
        <item sd="0" x="165"/>
        <item sd="0" x="164"/>
        <item sd="0" x="166"/>
        <item sd="0" x="179"/>
        <item sd="0" x="192"/>
        <item sd="0" x="191"/>
        <item sd="0" x="193"/>
        <item sd="0" x="169"/>
        <item sd="0" x="178"/>
        <item sd="0" x="194"/>
        <item sd="0" x="180"/>
        <item sd="0" x="177"/>
        <item sd="0" x="172"/>
        <item sd="0" x="173"/>
        <item sd="0" x="181"/>
        <item sd="0" x="174"/>
        <item sd="0" x="175"/>
        <item sd="0" x="190"/>
        <item sd="0" x="185"/>
        <item x="182"/>
        <item x="183"/>
        <item x="189"/>
        <item x="184"/>
        <item x="187"/>
        <item x="186"/>
        <item x="188"/>
        <item x="196"/>
        <item x="197"/>
        <item x="198"/>
        <item x="199"/>
        <item x="200"/>
        <item x="201"/>
        <item x="106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32"/>
        <item x="222"/>
        <item x="223"/>
        <item x="224"/>
        <item x="225"/>
        <item x="226"/>
        <item x="227"/>
        <item x="230"/>
        <item x="228"/>
        <item x="229"/>
        <item x="231"/>
        <item x="233"/>
        <item x="234"/>
        <item x="235"/>
        <item x="236"/>
        <item x="98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t="default" sd="0"/>
      </items>
    </pivotField>
    <pivotField numFmtId="167" showAll="0"/>
    <pivotField showAll="0"/>
    <pivotField showAll="0"/>
    <pivotField showAll="0"/>
    <pivotField showAll="0"/>
    <pivotField showAll="0"/>
    <pivotField axis="axisRow" showAll="0">
      <items count="47">
        <item x="7"/>
        <item x="30"/>
        <item x="22"/>
        <item x="14"/>
        <item x="8"/>
        <item x="1"/>
        <item x="23"/>
        <item x="5"/>
        <item x="29"/>
        <item x="25"/>
        <item x="12"/>
        <item x="4"/>
        <item x="24"/>
        <item x="16"/>
        <item x="20"/>
        <item x="31"/>
        <item x="13"/>
        <item x="32"/>
        <item x="26"/>
        <item x="19"/>
        <item x="36"/>
        <item x="34"/>
        <item x="28"/>
        <item x="9"/>
        <item x="2"/>
        <item x="10"/>
        <item x="3"/>
        <item x="15"/>
        <item x="33"/>
        <item x="18"/>
        <item x="35"/>
        <item x="6"/>
        <item x="17"/>
        <item x="11"/>
        <item x="0"/>
        <item x="41"/>
        <item x="27"/>
        <item x="37"/>
        <item x="38"/>
        <item x="21"/>
        <item x="39"/>
        <item x="40"/>
        <item x="43"/>
        <item x="42"/>
        <item x="44"/>
        <item x="45"/>
        <item t="default"/>
      </items>
    </pivotField>
    <pivotField numFmtId="8" showAll="0"/>
    <pivotField showAll="0"/>
    <pivotField showAll="0"/>
    <pivotField showAll="0"/>
    <pivotField showAll="0"/>
    <pivotField axis="axisRow" showAll="0">
      <items count="15">
        <item sd="0" x="0"/>
        <item sd="0" x="1"/>
        <item x="2"/>
        <item x="3"/>
        <item x="4"/>
        <item x="5"/>
        <item x="6"/>
        <item x="7"/>
        <item sd="0" x="8"/>
        <item sd="0" x="9"/>
        <item sd="0" x="10"/>
        <item x="11"/>
        <item x="12"/>
        <item sd="0" x="13"/>
        <item t="default"/>
      </items>
    </pivotField>
    <pivotField axis="axisRow" showAll="0" includeNewItemsInFilter="1">
      <items count="7">
        <item sd="0" x="0"/>
        <item x="1"/>
        <item x="2"/>
        <item x="3"/>
        <item x="4"/>
        <item x="5"/>
        <item t="default"/>
      </items>
    </pivotField>
    <pivotField axis="axisRow" showAll="0">
      <items count="14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x="10"/>
        <item x="11"/>
        <item x="12"/>
        <item t="default"/>
      </items>
    </pivotField>
  </pivotFields>
  <rowFields count="4">
    <field x="17"/>
    <field x="16"/>
    <field x="15"/>
    <field x="9"/>
  </rowFields>
  <rowItems count="140">
    <i>
      <x v="1"/>
    </i>
    <i r="1">
      <x v="4"/>
    </i>
    <i r="2">
      <x v="10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r="1">
      <x v="1"/>
    </i>
    <i r="2">
      <x v="1"/>
    </i>
    <i r="2">
      <x v="2"/>
    </i>
    <i r="3">
      <x v="1"/>
    </i>
    <i r="3">
      <x v="3"/>
    </i>
    <i r="3">
      <x v="4"/>
    </i>
    <i r="3">
      <x v="5"/>
    </i>
    <i r="3">
      <x v="13"/>
    </i>
    <i r="3">
      <x v="23"/>
    </i>
    <i r="3">
      <x v="25"/>
    </i>
    <i r="3">
      <x v="26"/>
    </i>
    <i r="3">
      <x v="27"/>
    </i>
    <i r="3">
      <x v="28"/>
    </i>
    <i r="2">
      <x v="3"/>
    </i>
    <i r="3">
      <x v="4"/>
    </i>
    <i r="3">
      <x v="17"/>
    </i>
    <i r="3">
      <x v="23"/>
    </i>
    <i r="3">
      <x v="25"/>
    </i>
    <i r="3">
      <x v="28"/>
    </i>
    <i r="3">
      <x v="31"/>
    </i>
    <i r="1">
      <x v="2"/>
    </i>
    <i r="2">
      <x v="4"/>
    </i>
    <i r="3">
      <x v="4"/>
    </i>
    <i r="3">
      <x v="17"/>
    </i>
    <i r="3">
      <x v="25"/>
    </i>
    <i r="2">
      <x v="5"/>
    </i>
    <i r="3">
      <x v="4"/>
    </i>
    <i r="3">
      <x v="25"/>
    </i>
    <i r="2">
      <x v="6"/>
    </i>
    <i r="3">
      <x v="4"/>
    </i>
    <i r="3">
      <x v="8"/>
    </i>
    <i r="3">
      <x v="17"/>
    </i>
    <i r="3">
      <x v="25"/>
    </i>
    <i r="3">
      <x v="28"/>
    </i>
    <i r="3">
      <x v="38"/>
    </i>
    <i r="1">
      <x v="3"/>
    </i>
    <i r="2">
      <x v="7"/>
    </i>
    <i r="3">
      <x v="3"/>
    </i>
    <i r="3">
      <x v="4"/>
    </i>
    <i r="3">
      <x v="10"/>
    </i>
    <i r="3">
      <x v="17"/>
    </i>
    <i r="3">
      <x v="25"/>
    </i>
    <i r="2">
      <x v="8"/>
    </i>
    <i r="2">
      <x v="9"/>
    </i>
    <i r="1">
      <x v="4"/>
    </i>
    <i r="2">
      <x v="10"/>
    </i>
    <i r="2">
      <x v="11"/>
    </i>
    <i r="3">
      <x v="4"/>
    </i>
    <i r="3">
      <x v="15"/>
    </i>
    <i r="3">
      <x v="20"/>
    </i>
    <i r="3">
      <x v="21"/>
    </i>
    <i r="3">
      <x v="27"/>
    </i>
    <i r="3">
      <x v="28"/>
    </i>
    <i r="3">
      <x v="30"/>
    </i>
    <i r="3">
      <x v="32"/>
    </i>
    <i r="2">
      <x v="12"/>
    </i>
    <i r="3">
      <x v="3"/>
    </i>
    <i r="3">
      <x v="4"/>
    </i>
    <i r="3">
      <x v="8"/>
    </i>
    <i r="3">
      <x v="13"/>
    </i>
    <i r="3">
      <x v="14"/>
    </i>
    <i r="3">
      <x v="17"/>
    </i>
    <i r="3">
      <x v="20"/>
    </i>
    <i r="3">
      <x v="27"/>
    </i>
    <i r="3">
      <x v="28"/>
    </i>
    <i r="3">
      <x v="44"/>
    </i>
    <i>
      <x v="11"/>
    </i>
    <i r="1">
      <x v="1"/>
    </i>
    <i r="2">
      <x v="2"/>
    </i>
    <i r="3">
      <x v="4"/>
    </i>
    <i r="3">
      <x v="13"/>
    </i>
    <i r="3">
      <x v="14"/>
    </i>
    <i r="3">
      <x v="20"/>
    </i>
    <i r="3">
      <x v="23"/>
    </i>
    <i r="3">
      <x v="25"/>
    </i>
    <i r="3">
      <x v="27"/>
    </i>
    <i r="3">
      <x v="28"/>
    </i>
    <i r="3">
      <x v="30"/>
    </i>
    <i r="3">
      <x v="44"/>
    </i>
    <i r="2">
      <x v="3"/>
    </i>
    <i r="3">
      <x v="3"/>
    </i>
    <i r="3">
      <x v="4"/>
    </i>
    <i r="3">
      <x v="10"/>
    </i>
    <i r="3">
      <x v="13"/>
    </i>
    <i r="3">
      <x v="14"/>
    </i>
    <i r="3">
      <x v="17"/>
    </i>
    <i r="3">
      <x v="20"/>
    </i>
    <i r="3">
      <x v="23"/>
    </i>
    <i r="3">
      <x v="27"/>
    </i>
    <i r="3">
      <x v="28"/>
    </i>
    <i r="3">
      <x v="35"/>
    </i>
    <i r="3">
      <x v="40"/>
    </i>
    <i r="1">
      <x v="2"/>
    </i>
    <i r="2">
      <x v="4"/>
    </i>
    <i r="3">
      <x v="4"/>
    </i>
    <i r="3">
      <x v="13"/>
    </i>
    <i r="3">
      <x v="14"/>
    </i>
    <i r="3">
      <x v="17"/>
    </i>
    <i r="3">
      <x v="20"/>
    </i>
    <i r="3">
      <x v="27"/>
    </i>
    <i r="2">
      <x v="5"/>
    </i>
    <i r="3">
      <x v="4"/>
    </i>
    <i r="3">
      <x v="10"/>
    </i>
    <i r="3">
      <x v="13"/>
    </i>
    <i r="3">
      <x v="14"/>
    </i>
    <i r="3">
      <x v="18"/>
    </i>
    <i r="3">
      <x v="20"/>
    </i>
    <i r="3">
      <x v="23"/>
    </i>
    <i r="3">
      <x v="25"/>
    </i>
    <i r="3">
      <x v="27"/>
    </i>
    <i r="3">
      <x v="30"/>
    </i>
    <i r="3">
      <x v="35"/>
    </i>
    <i r="3">
      <x v="42"/>
    </i>
    <i r="3">
      <x v="45"/>
    </i>
    <i r="2">
      <x v="6"/>
    </i>
    <i r="3">
      <x/>
    </i>
    <i r="3">
      <x v="4"/>
    </i>
    <i r="3">
      <x v="13"/>
    </i>
    <i r="3">
      <x v="14"/>
    </i>
    <i r="3">
      <x v="15"/>
    </i>
    <i r="3">
      <x v="17"/>
    </i>
    <i r="3">
      <x v="25"/>
    </i>
    <i r="3">
      <x v="27"/>
    </i>
    <i r="3">
      <x v="30"/>
    </i>
    <i r="3">
      <x v="35"/>
    </i>
    <i r="3">
      <x v="42"/>
    </i>
    <i r="3">
      <x v="43"/>
    </i>
    <i r="3">
      <x v="44"/>
    </i>
    <i t="grand">
      <x/>
    </i>
  </rowItems>
  <colItems count="1">
    <i/>
  </colItems>
  <dataFields count="1">
    <dataField name="Projects" fld="0" subtotal="count" baseField="0" baseItem="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G1256" totalsRowShown="0" headerRowDxfId="55" dataDxfId="53" headerRowBorderDxfId="54" tableBorderDxfId="52" totalsRowBorderDxfId="51">
  <autoFilter ref="A1:G1256" xr:uid="{00000000-0009-0000-0100-000003000000}"/>
  <tableColumns count="7">
    <tableColumn id="1" xr3:uid="{00000000-0010-0000-0000-000001000000}" name="Incentive #" dataDxfId="50"/>
    <tableColumn id="2" xr3:uid="{00000000-0010-0000-0000-000002000000}" name="Contract #" dataDxfId="49"/>
    <tableColumn id="3" xr3:uid="{00000000-0010-0000-0000-000003000000}" name="Approval Date" dataDxfId="48"/>
    <tableColumn id="4" xr3:uid="{00000000-0010-0000-0000-000004000000}" name="Contract Date" dataDxfId="47"/>
    <tableColumn id="7" xr3:uid="{00000000-0010-0000-0000-000007000000}" name="Name of Recipient" dataDxfId="46"/>
    <tableColumn id="5" xr3:uid="{00000000-0010-0000-0000-000005000000}" name="FIE/FEDE/Act 60" dataDxfId="45"/>
    <tableColumn id="6" xr3:uid="{00000000-0010-0000-0000-000006000000}" name="Cash Grant Amount" dataDxfId="44" dataCellStyle="Currency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:B13" totalsRowShown="0">
  <autoFilter ref="A1:B13" xr:uid="{00000000-0009-0000-0100-000004000000}"/>
  <tableColumns count="2">
    <tableColumn id="2" xr3:uid="{00000000-0010-0000-0100-000002000000}" name="Number"/>
    <tableColumn id="1" xr3:uid="{00000000-0010-0000-0100-000001000000}" name="Month" dataDxfId="4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32"/>
  <sheetViews>
    <sheetView workbookViewId="0">
      <selection activeCell="C1" sqref="C1"/>
    </sheetView>
  </sheetViews>
  <sheetFormatPr defaultColWidth="8.7265625" defaultRowHeight="14.5" x14ac:dyDescent="0.35"/>
  <cols>
    <col min="1" max="2" width="4.453125" customWidth="1"/>
    <col min="3" max="3" width="41.26953125" customWidth="1"/>
    <col min="4" max="4" width="14" style="13" customWidth="1"/>
    <col min="5" max="5" width="16" style="13" customWidth="1"/>
    <col min="6" max="6" width="12.453125" style="14" customWidth="1"/>
    <col min="7" max="7" width="13.7265625" style="13" customWidth="1"/>
    <col min="8" max="8" width="12.453125" style="13" customWidth="1"/>
  </cols>
  <sheetData>
    <row r="2" spans="3:8" x14ac:dyDescent="0.35">
      <c r="D2" s="3"/>
      <c r="E2" s="3"/>
      <c r="F2" s="13"/>
    </row>
    <row r="3" spans="3:8" x14ac:dyDescent="0.35">
      <c r="D3" s="3"/>
      <c r="E3" s="3"/>
      <c r="F3" s="13"/>
    </row>
    <row r="4" spans="3:8" ht="15.5" x14ac:dyDescent="0.35">
      <c r="C4" s="131" t="s">
        <v>0</v>
      </c>
      <c r="D4" s="131"/>
      <c r="E4" s="131"/>
      <c r="F4" s="131"/>
      <c r="G4" s="131"/>
      <c r="H4" s="131"/>
    </row>
    <row r="5" spans="3:8" x14ac:dyDescent="0.35">
      <c r="C5" s="130" t="s">
        <v>2627</v>
      </c>
      <c r="D5" s="130"/>
      <c r="E5" s="130"/>
      <c r="F5" s="130"/>
      <c r="G5" s="130"/>
      <c r="H5" s="130"/>
    </row>
    <row r="6" spans="3:8" x14ac:dyDescent="0.35">
      <c r="C6" s="130" t="s">
        <v>2626</v>
      </c>
      <c r="D6" s="130"/>
      <c r="E6" s="130"/>
      <c r="F6" s="130"/>
      <c r="G6" s="130"/>
      <c r="H6" s="130"/>
    </row>
    <row r="7" spans="3:8" x14ac:dyDescent="0.35">
      <c r="C7" s="130" t="s">
        <v>2628</v>
      </c>
      <c r="D7" s="130"/>
      <c r="E7" s="130"/>
      <c r="F7" s="130"/>
      <c r="G7" s="130"/>
      <c r="H7" s="130"/>
    </row>
    <row r="8" spans="3:8" ht="41.25" customHeight="1" x14ac:dyDescent="0.35">
      <c r="C8" s="19" t="s">
        <v>2565</v>
      </c>
      <c r="D8" s="20" t="s">
        <v>2613</v>
      </c>
      <c r="E8" s="20" t="s">
        <v>2614</v>
      </c>
      <c r="F8" s="21" t="s">
        <v>2615</v>
      </c>
      <c r="G8" s="20" t="s">
        <v>2616</v>
      </c>
      <c r="H8" s="20" t="s">
        <v>2617</v>
      </c>
    </row>
    <row r="9" spans="3:8" s="12" customFormat="1" x14ac:dyDescent="0.35">
      <c r="C9" s="2" t="s">
        <v>2574</v>
      </c>
      <c r="D9" s="13">
        <v>107957848.3</v>
      </c>
      <c r="E9" s="13">
        <v>70586861.730000004</v>
      </c>
      <c r="F9" s="14">
        <v>0</v>
      </c>
      <c r="G9" s="13">
        <v>0</v>
      </c>
      <c r="H9" s="13">
        <v>0</v>
      </c>
    </row>
    <row r="10" spans="3:8" s="12" customFormat="1" x14ac:dyDescent="0.35">
      <c r="C10" s="2" t="s">
        <v>2596</v>
      </c>
      <c r="D10" s="13">
        <v>310000</v>
      </c>
      <c r="E10" s="13">
        <v>86614.540000000008</v>
      </c>
      <c r="F10" s="14">
        <v>5</v>
      </c>
      <c r="G10" s="13">
        <v>15000</v>
      </c>
      <c r="H10" s="13">
        <v>346574</v>
      </c>
    </row>
    <row r="11" spans="3:8" x14ac:dyDescent="0.35">
      <c r="C11" s="2" t="s">
        <v>2583</v>
      </c>
      <c r="D11" s="13">
        <v>21843650</v>
      </c>
      <c r="E11" s="13">
        <v>21843650</v>
      </c>
      <c r="F11" s="14">
        <v>3936</v>
      </c>
      <c r="G11" s="13">
        <v>115920</v>
      </c>
      <c r="H11" s="13">
        <v>155579469</v>
      </c>
    </row>
    <row r="12" spans="3:8" x14ac:dyDescent="0.35">
      <c r="C12" s="2" t="s">
        <v>2587</v>
      </c>
      <c r="D12" s="13">
        <v>63371314</v>
      </c>
      <c r="E12" s="13">
        <v>49790366.480000004</v>
      </c>
      <c r="F12" s="14">
        <v>23282</v>
      </c>
      <c r="G12" s="13">
        <v>59584997</v>
      </c>
      <c r="H12" s="13">
        <v>606168295.70000005</v>
      </c>
    </row>
    <row r="13" spans="3:8" x14ac:dyDescent="0.35">
      <c r="C13" s="2" t="s">
        <v>2594</v>
      </c>
      <c r="D13" s="13">
        <v>5365596.3099999996</v>
      </c>
      <c r="E13" s="13">
        <v>4794741.58</v>
      </c>
      <c r="F13" s="14">
        <v>0</v>
      </c>
      <c r="G13" s="13">
        <v>4419403</v>
      </c>
      <c r="H13" s="13">
        <v>1426026</v>
      </c>
    </row>
    <row r="14" spans="3:8" x14ac:dyDescent="0.35">
      <c r="C14" s="2" t="s">
        <v>2584</v>
      </c>
      <c r="D14" s="13">
        <v>450000</v>
      </c>
      <c r="E14" s="13">
        <v>450000</v>
      </c>
      <c r="F14" s="14">
        <v>0</v>
      </c>
      <c r="G14" s="13">
        <v>0</v>
      </c>
      <c r="H14" s="13">
        <v>0</v>
      </c>
    </row>
    <row r="15" spans="3:8" s="12" customFormat="1" x14ac:dyDescent="0.35">
      <c r="C15" s="2" t="s">
        <v>2595</v>
      </c>
      <c r="D15" s="13">
        <v>184114</v>
      </c>
      <c r="E15" s="13">
        <v>0</v>
      </c>
      <c r="F15" s="14">
        <v>0</v>
      </c>
      <c r="G15" s="13">
        <v>0</v>
      </c>
      <c r="H15" s="13">
        <v>0</v>
      </c>
    </row>
    <row r="16" spans="3:8" x14ac:dyDescent="0.35">
      <c r="C16" s="2" t="s">
        <v>2588</v>
      </c>
      <c r="D16" s="13">
        <v>3275123.26</v>
      </c>
      <c r="E16" s="13">
        <v>1667967.47</v>
      </c>
      <c r="F16" s="14">
        <v>0</v>
      </c>
      <c r="G16" s="13">
        <v>6503240</v>
      </c>
      <c r="H16" s="13">
        <v>1200000</v>
      </c>
    </row>
    <row r="17" spans="3:8" x14ac:dyDescent="0.35">
      <c r="C17" s="2" t="s">
        <v>2592</v>
      </c>
      <c r="D17" s="13">
        <v>326072.8</v>
      </c>
      <c r="E17" s="13">
        <v>146171.34000000003</v>
      </c>
      <c r="F17" s="14">
        <v>0</v>
      </c>
      <c r="G17" s="13">
        <v>0</v>
      </c>
      <c r="H17" s="13">
        <v>0</v>
      </c>
    </row>
    <row r="18" spans="3:8" x14ac:dyDescent="0.35">
      <c r="C18" s="2" t="s">
        <v>2585</v>
      </c>
      <c r="D18" s="13">
        <v>15281411.439999999</v>
      </c>
      <c r="E18" s="13">
        <v>15039816.439999999</v>
      </c>
      <c r="F18" s="14">
        <v>0</v>
      </c>
      <c r="G18" s="13">
        <v>405129</v>
      </c>
      <c r="H18" s="13">
        <v>3196082</v>
      </c>
    </row>
    <row r="19" spans="3:8" x14ac:dyDescent="0.35">
      <c r="C19" s="2" t="s">
        <v>2589</v>
      </c>
      <c r="D19" s="13">
        <v>59882706.810000002</v>
      </c>
      <c r="E19" s="13">
        <v>34810786.400000006</v>
      </c>
      <c r="F19" s="14">
        <v>0</v>
      </c>
      <c r="G19" s="13">
        <v>514206494</v>
      </c>
      <c r="H19" s="13">
        <v>19621360</v>
      </c>
    </row>
    <row r="20" spans="3:8" x14ac:dyDescent="0.35">
      <c r="C20" s="2" t="s">
        <v>2586</v>
      </c>
      <c r="D20" s="13">
        <v>55296430</v>
      </c>
      <c r="E20" s="13">
        <v>52419249.289999999</v>
      </c>
      <c r="F20" s="14">
        <v>0</v>
      </c>
      <c r="G20" s="13">
        <v>198762820</v>
      </c>
      <c r="H20" s="13">
        <v>0</v>
      </c>
    </row>
    <row r="21" spans="3:8" x14ac:dyDescent="0.35">
      <c r="C21" s="2" t="s">
        <v>2591</v>
      </c>
      <c r="D21" s="13">
        <v>166141477.28</v>
      </c>
      <c r="E21" s="13">
        <v>111423440.01000001</v>
      </c>
      <c r="F21" s="14">
        <v>302</v>
      </c>
      <c r="G21" s="13">
        <v>952575540</v>
      </c>
      <c r="H21" s="13">
        <v>131251287</v>
      </c>
    </row>
    <row r="22" spans="3:8" x14ac:dyDescent="0.35">
      <c r="C22" s="2" t="s">
        <v>2573</v>
      </c>
      <c r="D22" s="13">
        <v>686160.00000000023</v>
      </c>
      <c r="E22" s="13">
        <v>59231.47</v>
      </c>
      <c r="F22" s="14">
        <v>0</v>
      </c>
      <c r="G22" s="13">
        <v>0</v>
      </c>
      <c r="H22" s="13">
        <v>0</v>
      </c>
    </row>
    <row r="23" spans="3:8" x14ac:dyDescent="0.35">
      <c r="C23" s="2" t="s">
        <v>2581</v>
      </c>
      <c r="D23" s="13">
        <v>1816204.5099999998</v>
      </c>
      <c r="E23" s="13">
        <v>431747.51</v>
      </c>
      <c r="F23" s="14">
        <v>0</v>
      </c>
      <c r="G23" s="13">
        <v>0</v>
      </c>
      <c r="H23" s="13">
        <v>0</v>
      </c>
    </row>
    <row r="24" spans="3:8" x14ac:dyDescent="0.35">
      <c r="C24" s="2" t="s">
        <v>2590</v>
      </c>
      <c r="D24" s="13">
        <v>1762000</v>
      </c>
      <c r="E24" s="13">
        <v>335715.46</v>
      </c>
      <c r="F24" s="14">
        <v>0</v>
      </c>
      <c r="G24" s="13">
        <v>585000</v>
      </c>
      <c r="H24" s="13">
        <v>475800</v>
      </c>
    </row>
    <row r="25" spans="3:8" x14ac:dyDescent="0.35">
      <c r="C25" s="2" t="s">
        <v>2597</v>
      </c>
      <c r="D25" s="13">
        <v>420894.63</v>
      </c>
      <c r="E25" s="13">
        <v>260953.37999999998</v>
      </c>
      <c r="F25" s="14">
        <v>0</v>
      </c>
      <c r="G25" s="13">
        <v>0</v>
      </c>
      <c r="H25" s="13">
        <v>0</v>
      </c>
    </row>
    <row r="26" spans="3:8" x14ac:dyDescent="0.35">
      <c r="C26" s="2" t="s">
        <v>2593</v>
      </c>
      <c r="D26" s="13">
        <v>1635684.57</v>
      </c>
      <c r="E26" s="13">
        <v>33226</v>
      </c>
      <c r="F26" s="14">
        <v>4</v>
      </c>
      <c r="G26" s="13">
        <v>119000</v>
      </c>
      <c r="H26" s="13">
        <v>223600</v>
      </c>
    </row>
    <row r="27" spans="3:8" x14ac:dyDescent="0.35">
      <c r="C27" s="2" t="s">
        <v>2582</v>
      </c>
      <c r="D27" s="13">
        <v>1900000</v>
      </c>
      <c r="E27" s="13">
        <v>1400000</v>
      </c>
      <c r="F27" s="14">
        <v>0</v>
      </c>
      <c r="G27" s="13">
        <v>2300000</v>
      </c>
      <c r="H27" s="13">
        <v>8000000</v>
      </c>
    </row>
    <row r="28" spans="3:8" x14ac:dyDescent="0.35">
      <c r="C28" s="2" t="s">
        <v>2553</v>
      </c>
      <c r="D28" s="13">
        <v>507906687.91000003</v>
      </c>
      <c r="E28" s="13">
        <v>365580539.10000002</v>
      </c>
      <c r="F28" s="14">
        <v>27529</v>
      </c>
      <c r="G28" s="13">
        <v>1739592543</v>
      </c>
      <c r="H28" s="13">
        <v>927488493.70000005</v>
      </c>
    </row>
    <row r="29" spans="3:8" s="12" customFormat="1" x14ac:dyDescent="0.35">
      <c r="C29"/>
      <c r="D29"/>
      <c r="E29"/>
      <c r="F29"/>
      <c r="G29"/>
      <c r="H29"/>
    </row>
    <row r="30" spans="3:8" x14ac:dyDescent="0.35">
      <c r="D30"/>
      <c r="E30"/>
      <c r="F30"/>
      <c r="G30"/>
      <c r="H30"/>
    </row>
    <row r="31" spans="3:8" x14ac:dyDescent="0.35">
      <c r="D31"/>
      <c r="E31"/>
      <c r="F31"/>
      <c r="G31"/>
      <c r="H31"/>
    </row>
    <row r="32" spans="3:8" x14ac:dyDescent="0.35">
      <c r="D32"/>
      <c r="E32"/>
      <c r="F32"/>
      <c r="G32"/>
      <c r="H32"/>
    </row>
  </sheetData>
  <mergeCells count="4">
    <mergeCell ref="C7:H7"/>
    <mergeCell ref="C6:H6"/>
    <mergeCell ref="C5:H5"/>
    <mergeCell ref="C4:H4"/>
  </mergeCells>
  <printOptions horizontalCentered="1"/>
  <pageMargins left="0.7" right="0.7" top="0.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G81"/>
  <sheetViews>
    <sheetView workbookViewId="0">
      <selection activeCell="H87" sqref="H87"/>
    </sheetView>
  </sheetViews>
  <sheetFormatPr defaultColWidth="8.7265625" defaultRowHeight="14.5" x14ac:dyDescent="0.35"/>
  <cols>
    <col min="1" max="1" width="3.26953125" customWidth="1"/>
    <col min="2" max="2" width="5" customWidth="1"/>
    <col min="3" max="3" width="13.1796875" bestFit="1" customWidth="1"/>
    <col min="4" max="4" width="11" style="3" customWidth="1"/>
    <col min="5" max="5" width="17.7265625" style="3" customWidth="1"/>
    <col min="6" max="6" width="19.453125" style="13" customWidth="1"/>
    <col min="7" max="7" width="22.7265625" style="13" customWidth="1"/>
    <col min="8" max="8" width="36" customWidth="1"/>
  </cols>
  <sheetData>
    <row r="4" spans="3:7" ht="15.5" x14ac:dyDescent="0.35">
      <c r="C4" s="131" t="s">
        <v>0</v>
      </c>
      <c r="D4" s="131"/>
      <c r="E4" s="131"/>
      <c r="F4" s="131"/>
      <c r="G4" s="131"/>
    </row>
    <row r="5" spans="3:7" x14ac:dyDescent="0.35">
      <c r="C5" s="130" t="s">
        <v>2629</v>
      </c>
      <c r="D5" s="130"/>
      <c r="E5" s="130"/>
      <c r="F5" s="130"/>
      <c r="G5" s="130"/>
    </row>
    <row r="6" spans="3:7" x14ac:dyDescent="0.35">
      <c r="C6" s="130" t="s">
        <v>2626</v>
      </c>
      <c r="D6" s="130"/>
      <c r="E6" s="130"/>
      <c r="F6" s="130"/>
      <c r="G6" s="130"/>
    </row>
    <row r="7" spans="3:7" ht="29" x14ac:dyDescent="0.35">
      <c r="C7" s="17" t="s">
        <v>2626</v>
      </c>
      <c r="D7" s="3" t="s">
        <v>2623</v>
      </c>
      <c r="E7" s="18" t="s">
        <v>2622</v>
      </c>
      <c r="F7" s="18" t="s">
        <v>2624</v>
      </c>
      <c r="G7" s="18" t="s">
        <v>2625</v>
      </c>
    </row>
    <row r="8" spans="3:7" x14ac:dyDescent="0.35">
      <c r="C8" s="2" t="s">
        <v>2554</v>
      </c>
    </row>
    <row r="9" spans="3:7" x14ac:dyDescent="0.35">
      <c r="C9" s="15" t="s">
        <v>2618</v>
      </c>
    </row>
    <row r="10" spans="3:7" x14ac:dyDescent="0.35">
      <c r="C10" s="16" t="s">
        <v>2599</v>
      </c>
      <c r="D10" s="3">
        <v>115</v>
      </c>
      <c r="E10" s="3">
        <v>56</v>
      </c>
      <c r="F10" s="13">
        <v>0</v>
      </c>
      <c r="G10" s="13">
        <v>0</v>
      </c>
    </row>
    <row r="11" spans="3:7" x14ac:dyDescent="0.35">
      <c r="C11" s="16" t="s">
        <v>2608</v>
      </c>
      <c r="D11" s="3">
        <v>8</v>
      </c>
      <c r="E11" s="3">
        <v>5</v>
      </c>
      <c r="F11" s="13">
        <v>0</v>
      </c>
      <c r="G11" s="13">
        <v>0</v>
      </c>
    </row>
    <row r="12" spans="3:7" x14ac:dyDescent="0.35">
      <c r="C12" s="16" t="s">
        <v>2606</v>
      </c>
      <c r="D12" s="3">
        <v>18</v>
      </c>
      <c r="E12" s="3">
        <v>17</v>
      </c>
      <c r="F12" s="13">
        <v>0</v>
      </c>
      <c r="G12" s="13">
        <v>0</v>
      </c>
    </row>
    <row r="13" spans="3:7" x14ac:dyDescent="0.35">
      <c r="C13" s="15" t="s">
        <v>2619</v>
      </c>
    </row>
    <row r="14" spans="3:7" x14ac:dyDescent="0.35">
      <c r="C14" s="16" t="s">
        <v>2600</v>
      </c>
      <c r="D14" s="3">
        <v>20</v>
      </c>
      <c r="E14" s="3">
        <v>446</v>
      </c>
      <c r="F14" s="13">
        <v>2080000</v>
      </c>
      <c r="G14" s="13">
        <v>2192135</v>
      </c>
    </row>
    <row r="15" spans="3:7" x14ac:dyDescent="0.35">
      <c r="C15" s="16" t="s">
        <v>2601</v>
      </c>
      <c r="D15" s="3">
        <v>1</v>
      </c>
      <c r="E15" s="3">
        <v>15</v>
      </c>
      <c r="F15" s="13">
        <v>0</v>
      </c>
      <c r="G15" s="13">
        <v>0</v>
      </c>
    </row>
    <row r="16" spans="3:7" x14ac:dyDescent="0.35">
      <c r="C16" s="16" t="s">
        <v>2607</v>
      </c>
      <c r="D16" s="3">
        <v>18</v>
      </c>
      <c r="E16" s="3">
        <v>0</v>
      </c>
      <c r="F16" s="13">
        <v>408000</v>
      </c>
      <c r="G16" s="13">
        <v>0</v>
      </c>
    </row>
    <row r="17" spans="3:7" x14ac:dyDescent="0.35">
      <c r="C17" s="2" t="s">
        <v>2555</v>
      </c>
    </row>
    <row r="18" spans="3:7" x14ac:dyDescent="0.35">
      <c r="C18" s="15" t="s">
        <v>2620</v>
      </c>
    </row>
    <row r="19" spans="3:7" x14ac:dyDescent="0.35">
      <c r="C19" s="16" t="s">
        <v>2602</v>
      </c>
      <c r="D19" s="3">
        <v>2</v>
      </c>
      <c r="E19" s="3">
        <v>0</v>
      </c>
      <c r="F19" s="13">
        <v>300000</v>
      </c>
      <c r="G19" s="13">
        <v>0</v>
      </c>
    </row>
    <row r="20" spans="3:7" x14ac:dyDescent="0.35">
      <c r="C20" s="16" t="s">
        <v>2603</v>
      </c>
      <c r="D20" s="3">
        <v>3</v>
      </c>
      <c r="E20" s="3">
        <v>0</v>
      </c>
      <c r="F20" s="13">
        <v>617000</v>
      </c>
      <c r="G20" s="13">
        <v>150800</v>
      </c>
    </row>
    <row r="21" spans="3:7" x14ac:dyDescent="0.35">
      <c r="C21" s="15" t="s">
        <v>2621</v>
      </c>
    </row>
    <row r="22" spans="3:7" x14ac:dyDescent="0.35">
      <c r="C22" s="16" t="s">
        <v>2610</v>
      </c>
      <c r="D22" s="3">
        <v>1</v>
      </c>
      <c r="E22" s="3">
        <v>0</v>
      </c>
      <c r="F22" s="13">
        <v>200000</v>
      </c>
    </row>
    <row r="23" spans="3:7" x14ac:dyDescent="0.35">
      <c r="C23" s="16" t="s">
        <v>2604</v>
      </c>
      <c r="D23" s="3">
        <v>11</v>
      </c>
      <c r="E23" s="3">
        <v>325</v>
      </c>
      <c r="F23" s="13">
        <v>40407636</v>
      </c>
      <c r="G23" s="13">
        <v>18735486</v>
      </c>
    </row>
    <row r="24" spans="3:7" x14ac:dyDescent="0.35">
      <c r="C24" s="16" t="s">
        <v>2598</v>
      </c>
      <c r="D24" s="3">
        <v>115</v>
      </c>
      <c r="E24" s="3">
        <v>20</v>
      </c>
      <c r="F24" s="13">
        <v>2152563</v>
      </c>
      <c r="G24" s="13">
        <v>724240</v>
      </c>
    </row>
    <row r="25" spans="3:7" x14ac:dyDescent="0.35">
      <c r="C25" s="15" t="s">
        <v>2618</v>
      </c>
    </row>
    <row r="26" spans="3:7" x14ac:dyDescent="0.35">
      <c r="C26" s="16" t="s">
        <v>2599</v>
      </c>
      <c r="D26" s="3">
        <v>11</v>
      </c>
      <c r="E26" s="3">
        <v>54</v>
      </c>
      <c r="F26" s="13">
        <v>689974</v>
      </c>
      <c r="G26" s="13">
        <v>1045145</v>
      </c>
    </row>
    <row r="27" spans="3:7" x14ac:dyDescent="0.35">
      <c r="C27" s="16" t="s">
        <v>2608</v>
      </c>
      <c r="D27" s="3">
        <v>1</v>
      </c>
      <c r="E27" s="3">
        <v>0</v>
      </c>
      <c r="F27" s="13">
        <v>150000</v>
      </c>
      <c r="G27" s="13">
        <v>406737</v>
      </c>
    </row>
    <row r="28" spans="3:7" x14ac:dyDescent="0.35">
      <c r="C28" s="16" t="s">
        <v>2606</v>
      </c>
      <c r="D28" s="3">
        <v>38</v>
      </c>
      <c r="E28" s="3">
        <v>68</v>
      </c>
      <c r="F28" s="13">
        <v>8201945</v>
      </c>
      <c r="G28" s="13">
        <v>2483824</v>
      </c>
    </row>
    <row r="29" spans="3:7" x14ac:dyDescent="0.35">
      <c r="C29" s="15" t="s">
        <v>2619</v>
      </c>
    </row>
    <row r="30" spans="3:7" x14ac:dyDescent="0.35">
      <c r="C30" s="16" t="s">
        <v>2600</v>
      </c>
      <c r="D30" s="3">
        <v>14</v>
      </c>
      <c r="E30" s="3">
        <v>0</v>
      </c>
      <c r="F30" s="13">
        <v>0</v>
      </c>
      <c r="G30" s="13">
        <v>0</v>
      </c>
    </row>
    <row r="31" spans="3:7" x14ac:dyDescent="0.35">
      <c r="C31" s="16" t="s">
        <v>2601</v>
      </c>
      <c r="D31" s="3">
        <v>29</v>
      </c>
      <c r="E31" s="3">
        <v>0</v>
      </c>
      <c r="F31" s="13">
        <v>0</v>
      </c>
      <c r="G31" s="13">
        <v>0</v>
      </c>
    </row>
    <row r="32" spans="3:7" x14ac:dyDescent="0.35">
      <c r="C32" s="16" t="s">
        <v>2607</v>
      </c>
      <c r="D32" s="3">
        <v>34</v>
      </c>
      <c r="E32" s="3">
        <v>22</v>
      </c>
      <c r="F32" s="13">
        <v>295000</v>
      </c>
      <c r="G32" s="13">
        <v>331760</v>
      </c>
    </row>
    <row r="33" spans="3:7" x14ac:dyDescent="0.35">
      <c r="C33" s="2" t="s">
        <v>2556</v>
      </c>
    </row>
    <row r="34" spans="3:7" x14ac:dyDescent="0.35">
      <c r="C34" s="15" t="s">
        <v>2620</v>
      </c>
    </row>
    <row r="35" spans="3:7" x14ac:dyDescent="0.35">
      <c r="C35" s="16" t="s">
        <v>2609</v>
      </c>
      <c r="D35" s="3">
        <v>11</v>
      </c>
      <c r="E35" s="3">
        <v>3000</v>
      </c>
      <c r="F35" s="13">
        <v>11501298</v>
      </c>
      <c r="G35" s="13">
        <v>65470000</v>
      </c>
    </row>
    <row r="36" spans="3:7" x14ac:dyDescent="0.35">
      <c r="C36" s="16" t="s">
        <v>2602</v>
      </c>
      <c r="D36" s="3">
        <v>5</v>
      </c>
      <c r="E36" s="3">
        <v>650</v>
      </c>
      <c r="F36" s="13">
        <v>30174460</v>
      </c>
      <c r="G36" s="13">
        <v>16454070</v>
      </c>
    </row>
    <row r="37" spans="3:7" x14ac:dyDescent="0.35">
      <c r="C37" s="16" t="s">
        <v>2603</v>
      </c>
      <c r="D37" s="3">
        <v>5</v>
      </c>
      <c r="E37" s="3">
        <v>51</v>
      </c>
      <c r="F37" s="13">
        <v>168885</v>
      </c>
      <c r="G37" s="13">
        <v>787672</v>
      </c>
    </row>
    <row r="38" spans="3:7" x14ac:dyDescent="0.35">
      <c r="C38" s="15" t="s">
        <v>2621</v>
      </c>
    </row>
    <row r="39" spans="3:7" x14ac:dyDescent="0.35">
      <c r="C39" s="16" t="s">
        <v>2610</v>
      </c>
      <c r="D39" s="3">
        <v>8</v>
      </c>
      <c r="E39" s="3">
        <v>207</v>
      </c>
      <c r="F39" s="13">
        <v>35002382</v>
      </c>
      <c r="G39" s="13">
        <v>9470760</v>
      </c>
    </row>
    <row r="40" spans="3:7" x14ac:dyDescent="0.35">
      <c r="C40" s="16" t="s">
        <v>2604</v>
      </c>
      <c r="D40" s="3">
        <v>19</v>
      </c>
      <c r="E40" s="3">
        <v>554</v>
      </c>
      <c r="F40" s="13">
        <v>71263655</v>
      </c>
      <c r="G40" s="13">
        <v>26101200</v>
      </c>
    </row>
    <row r="41" spans="3:7" x14ac:dyDescent="0.35">
      <c r="C41" s="16" t="s">
        <v>2598</v>
      </c>
      <c r="D41" s="3">
        <v>25</v>
      </c>
      <c r="E41" s="3">
        <v>798</v>
      </c>
      <c r="F41" s="13">
        <v>65087965</v>
      </c>
      <c r="G41" s="13">
        <v>31699264.700000003</v>
      </c>
    </row>
    <row r="42" spans="3:7" x14ac:dyDescent="0.35">
      <c r="C42" s="15" t="s">
        <v>2618</v>
      </c>
    </row>
    <row r="43" spans="3:7" x14ac:dyDescent="0.35">
      <c r="C43" s="16" t="s">
        <v>2599</v>
      </c>
      <c r="D43" s="3">
        <v>145</v>
      </c>
      <c r="E43" s="3">
        <v>1154</v>
      </c>
      <c r="F43" s="13">
        <v>181704461</v>
      </c>
      <c r="G43" s="13">
        <v>36436600</v>
      </c>
    </row>
    <row r="44" spans="3:7" x14ac:dyDescent="0.35">
      <c r="C44" s="16" t="s">
        <v>2608</v>
      </c>
      <c r="D44" s="3">
        <v>7</v>
      </c>
      <c r="E44" s="3">
        <v>30</v>
      </c>
      <c r="F44" s="13">
        <v>727200</v>
      </c>
      <c r="G44" s="13">
        <v>778198</v>
      </c>
    </row>
    <row r="45" spans="3:7" x14ac:dyDescent="0.35">
      <c r="C45" s="16" t="s">
        <v>2606</v>
      </c>
      <c r="D45" s="3">
        <v>14</v>
      </c>
      <c r="E45" s="3">
        <v>1097</v>
      </c>
      <c r="F45" s="13">
        <v>35503825</v>
      </c>
      <c r="G45" s="13">
        <v>29308194</v>
      </c>
    </row>
    <row r="46" spans="3:7" x14ac:dyDescent="0.35">
      <c r="C46" s="15" t="s">
        <v>2619</v>
      </c>
    </row>
    <row r="47" spans="3:7" x14ac:dyDescent="0.35">
      <c r="C47" s="16" t="s">
        <v>2600</v>
      </c>
      <c r="D47" s="3">
        <v>48</v>
      </c>
      <c r="E47" s="3">
        <v>262</v>
      </c>
      <c r="F47" s="13">
        <v>306719403</v>
      </c>
      <c r="G47" s="13">
        <v>108852026</v>
      </c>
    </row>
    <row r="48" spans="3:7" x14ac:dyDescent="0.35">
      <c r="C48" s="16" t="s">
        <v>2601</v>
      </c>
      <c r="D48" s="3">
        <v>14</v>
      </c>
      <c r="E48" s="3">
        <v>588</v>
      </c>
      <c r="F48" s="13">
        <v>2847000</v>
      </c>
      <c r="G48" s="13">
        <v>11009000</v>
      </c>
    </row>
    <row r="49" spans="3:7" x14ac:dyDescent="0.35">
      <c r="C49" s="16" t="s">
        <v>2607</v>
      </c>
      <c r="D49" s="3">
        <v>11</v>
      </c>
      <c r="E49" s="3">
        <v>114</v>
      </c>
      <c r="F49" s="13">
        <v>13828000</v>
      </c>
      <c r="G49" s="13">
        <v>22744950</v>
      </c>
    </row>
    <row r="50" spans="3:7" x14ac:dyDescent="0.35">
      <c r="C50" s="2" t="s">
        <v>2557</v>
      </c>
    </row>
    <row r="51" spans="3:7" x14ac:dyDescent="0.35">
      <c r="C51" s="15" t="s">
        <v>2620</v>
      </c>
    </row>
    <row r="52" spans="3:7" x14ac:dyDescent="0.35">
      <c r="C52" s="16" t="s">
        <v>2609</v>
      </c>
      <c r="D52" s="3">
        <v>30</v>
      </c>
      <c r="E52" s="3">
        <v>7466</v>
      </c>
      <c r="F52" s="13">
        <v>48512562</v>
      </c>
      <c r="G52" s="13">
        <v>75625626</v>
      </c>
    </row>
    <row r="53" spans="3:7" x14ac:dyDescent="0.35">
      <c r="C53" s="16" t="s">
        <v>2602</v>
      </c>
      <c r="D53" s="3">
        <v>18</v>
      </c>
      <c r="E53" s="3">
        <v>496</v>
      </c>
      <c r="F53" s="13">
        <v>380561142</v>
      </c>
      <c r="G53" s="13">
        <v>81482191</v>
      </c>
    </row>
    <row r="54" spans="3:7" x14ac:dyDescent="0.35">
      <c r="C54" s="16" t="s">
        <v>2603</v>
      </c>
      <c r="D54" s="3">
        <v>20</v>
      </c>
      <c r="E54" s="3">
        <v>53</v>
      </c>
      <c r="F54" s="13">
        <v>18870119</v>
      </c>
      <c r="G54" s="13">
        <v>864449</v>
      </c>
    </row>
    <row r="55" spans="3:7" x14ac:dyDescent="0.35">
      <c r="C55" s="15" t="s">
        <v>2621</v>
      </c>
    </row>
    <row r="56" spans="3:7" x14ac:dyDescent="0.35">
      <c r="C56" s="16" t="s">
        <v>2610</v>
      </c>
      <c r="D56" s="3">
        <v>2</v>
      </c>
      <c r="E56" s="3">
        <v>6</v>
      </c>
      <c r="F56" s="13">
        <v>160000</v>
      </c>
      <c r="G56" s="13">
        <v>216000</v>
      </c>
    </row>
    <row r="57" spans="3:7" x14ac:dyDescent="0.35">
      <c r="C57" s="16" t="s">
        <v>2604</v>
      </c>
      <c r="D57" s="3">
        <v>14</v>
      </c>
      <c r="E57" s="3">
        <v>387</v>
      </c>
      <c r="F57" s="13">
        <v>9553296</v>
      </c>
      <c r="G57" s="13">
        <v>17642054</v>
      </c>
    </row>
    <row r="58" spans="3:7" x14ac:dyDescent="0.35">
      <c r="C58" s="16" t="s">
        <v>2598</v>
      </c>
      <c r="D58" s="3">
        <v>15</v>
      </c>
      <c r="E58" s="3">
        <v>206</v>
      </c>
      <c r="F58" s="13">
        <v>18209732</v>
      </c>
      <c r="G58" s="13">
        <v>12290532</v>
      </c>
    </row>
    <row r="59" spans="3:7" x14ac:dyDescent="0.35">
      <c r="C59" s="15" t="s">
        <v>2618</v>
      </c>
    </row>
    <row r="60" spans="3:7" x14ac:dyDescent="0.35">
      <c r="C60" s="16" t="s">
        <v>2599</v>
      </c>
      <c r="D60" s="3">
        <v>130</v>
      </c>
      <c r="E60" s="3">
        <v>2491</v>
      </c>
      <c r="F60" s="13">
        <v>72436271</v>
      </c>
      <c r="G60" s="13">
        <v>61585759</v>
      </c>
    </row>
    <row r="61" spans="3:7" x14ac:dyDescent="0.35">
      <c r="C61" s="16" t="s">
        <v>2608</v>
      </c>
      <c r="D61" s="3">
        <v>6</v>
      </c>
      <c r="E61" s="3">
        <v>99</v>
      </c>
      <c r="F61" s="13">
        <v>435500</v>
      </c>
      <c r="G61" s="13">
        <v>2796464</v>
      </c>
    </row>
    <row r="62" spans="3:7" x14ac:dyDescent="0.35">
      <c r="C62" s="16" t="s">
        <v>2606</v>
      </c>
      <c r="D62" s="3">
        <v>32</v>
      </c>
      <c r="E62" s="3">
        <v>196</v>
      </c>
      <c r="F62" s="13">
        <v>47581935</v>
      </c>
      <c r="G62" s="13">
        <v>17778478</v>
      </c>
    </row>
    <row r="63" spans="3:7" x14ac:dyDescent="0.35">
      <c r="C63" s="15" t="s">
        <v>2619</v>
      </c>
    </row>
    <row r="64" spans="3:7" x14ac:dyDescent="0.35">
      <c r="C64" s="16" t="s">
        <v>2600</v>
      </c>
      <c r="D64" s="3">
        <v>21</v>
      </c>
      <c r="E64" s="3">
        <v>130</v>
      </c>
      <c r="F64" s="13">
        <v>3567000</v>
      </c>
      <c r="G64" s="13">
        <v>4485695</v>
      </c>
    </row>
    <row r="65" spans="3:7" x14ac:dyDescent="0.35">
      <c r="C65" s="16" t="s">
        <v>2601</v>
      </c>
      <c r="D65" s="3">
        <v>47</v>
      </c>
      <c r="E65" s="3">
        <v>671</v>
      </c>
      <c r="F65" s="13">
        <v>67514645</v>
      </c>
      <c r="G65" s="13">
        <v>38794365</v>
      </c>
    </row>
    <row r="66" spans="3:7" x14ac:dyDescent="0.35">
      <c r="C66" s="16" t="s">
        <v>2607</v>
      </c>
      <c r="D66" s="3">
        <v>19</v>
      </c>
      <c r="E66" s="3">
        <v>218</v>
      </c>
      <c r="F66" s="13">
        <v>3181040</v>
      </c>
      <c r="G66" s="13">
        <v>3847480</v>
      </c>
    </row>
    <row r="67" spans="3:7" x14ac:dyDescent="0.35">
      <c r="C67" s="2" t="s">
        <v>2558</v>
      </c>
    </row>
    <row r="68" spans="3:7" x14ac:dyDescent="0.35">
      <c r="C68" s="15" t="s">
        <v>2620</v>
      </c>
    </row>
    <row r="69" spans="3:7" x14ac:dyDescent="0.35">
      <c r="C69" s="16" t="s">
        <v>2609</v>
      </c>
      <c r="D69" s="3">
        <v>24</v>
      </c>
      <c r="E69" s="3">
        <v>1487</v>
      </c>
      <c r="F69" s="13">
        <v>11439780</v>
      </c>
      <c r="G69" s="13">
        <v>25480097</v>
      </c>
    </row>
    <row r="70" spans="3:7" x14ac:dyDescent="0.35">
      <c r="C70" s="16" t="s">
        <v>2602</v>
      </c>
      <c r="D70" s="3">
        <v>6</v>
      </c>
      <c r="E70" s="3">
        <v>0</v>
      </c>
      <c r="F70" s="13">
        <v>0</v>
      </c>
      <c r="G70" s="13">
        <v>0</v>
      </c>
    </row>
    <row r="71" spans="3:7" x14ac:dyDescent="0.35">
      <c r="C71" s="16" t="s">
        <v>2603</v>
      </c>
      <c r="D71" s="3">
        <v>4</v>
      </c>
      <c r="E71" s="3">
        <v>4</v>
      </c>
      <c r="F71" s="13">
        <v>48255000</v>
      </c>
      <c r="G71" s="13">
        <v>33395000</v>
      </c>
    </row>
    <row r="72" spans="3:7" x14ac:dyDescent="0.35">
      <c r="C72" s="15" t="s">
        <v>2621</v>
      </c>
    </row>
    <row r="73" spans="3:7" x14ac:dyDescent="0.35">
      <c r="C73" s="16" t="s">
        <v>2604</v>
      </c>
      <c r="D73" s="3">
        <v>1</v>
      </c>
      <c r="E73" s="3">
        <v>150</v>
      </c>
      <c r="F73" s="13">
        <v>0</v>
      </c>
      <c r="G73" s="13">
        <v>7246691</v>
      </c>
    </row>
    <row r="74" spans="3:7" x14ac:dyDescent="0.35">
      <c r="C74" s="16" t="s">
        <v>2598</v>
      </c>
      <c r="D74" s="3">
        <v>16</v>
      </c>
      <c r="E74" s="3">
        <v>0</v>
      </c>
      <c r="F74" s="13">
        <v>0</v>
      </c>
      <c r="G74" s="13">
        <v>0</v>
      </c>
    </row>
    <row r="75" spans="3:7" x14ac:dyDescent="0.35">
      <c r="C75" s="15" t="s">
        <v>2618</v>
      </c>
    </row>
    <row r="76" spans="3:7" x14ac:dyDescent="0.35">
      <c r="C76" s="16" t="s">
        <v>2599</v>
      </c>
      <c r="D76" s="3">
        <v>24</v>
      </c>
      <c r="E76" s="3">
        <v>641</v>
      </c>
      <c r="F76" s="13">
        <v>123552993</v>
      </c>
      <c r="G76" s="13">
        <v>35761749</v>
      </c>
    </row>
    <row r="77" spans="3:7" x14ac:dyDescent="0.35">
      <c r="C77" s="16" t="s">
        <v>2608</v>
      </c>
      <c r="D77" s="3">
        <v>22</v>
      </c>
      <c r="E77" s="3">
        <v>1607</v>
      </c>
      <c r="F77" s="13">
        <v>56864496</v>
      </c>
      <c r="G77" s="13">
        <v>86994267</v>
      </c>
    </row>
    <row r="78" spans="3:7" x14ac:dyDescent="0.35">
      <c r="C78" s="16" t="s">
        <v>2606</v>
      </c>
      <c r="D78" s="3">
        <v>25</v>
      </c>
      <c r="E78" s="3">
        <v>391</v>
      </c>
      <c r="F78" s="13">
        <v>1593499</v>
      </c>
      <c r="G78" s="13">
        <v>6077246</v>
      </c>
    </row>
    <row r="79" spans="3:7" x14ac:dyDescent="0.35">
      <c r="C79" s="15" t="s">
        <v>2619</v>
      </c>
    </row>
    <row r="80" spans="3:7" x14ac:dyDescent="0.35">
      <c r="C80" s="16" t="s">
        <v>2600</v>
      </c>
      <c r="D80" s="3">
        <v>28</v>
      </c>
      <c r="E80" s="3">
        <v>1297</v>
      </c>
      <c r="F80" s="13">
        <v>17272881</v>
      </c>
      <c r="G80" s="13">
        <v>29942289</v>
      </c>
    </row>
    <row r="81" spans="3:7" x14ac:dyDescent="0.35">
      <c r="C81" s="2" t="s">
        <v>2559</v>
      </c>
      <c r="D81" s="3">
        <v>1255</v>
      </c>
      <c r="E81" s="3">
        <v>27529</v>
      </c>
      <c r="F81" s="13">
        <v>1739592543</v>
      </c>
      <c r="G81" s="13">
        <v>927488493.70000005</v>
      </c>
    </row>
  </sheetData>
  <mergeCells count="3">
    <mergeCell ref="C4:G4"/>
    <mergeCell ref="C5:G5"/>
    <mergeCell ref="C6:G6"/>
  </mergeCells>
  <printOptions horizontalCentered="1"/>
  <pageMargins left="0.7" right="0.7" top="0.25" bottom="0.75" header="0.3" footer="0.3"/>
  <pageSetup orientation="portrait" r:id="rId2"/>
  <headerFooter>
    <oddFooter>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53"/>
  <sheetViews>
    <sheetView tabSelected="1" topLeftCell="A35" zoomScaleNormal="100" workbookViewId="0">
      <selection activeCell="E55" sqref="E55"/>
    </sheetView>
  </sheetViews>
  <sheetFormatPr defaultColWidth="10.7265625" defaultRowHeight="14.5" x14ac:dyDescent="0.35"/>
  <cols>
    <col min="1" max="1" width="1.453125" customWidth="1"/>
    <col min="2" max="2" width="10.7265625" customWidth="1"/>
    <col min="3" max="3" width="54.1796875" style="13" bestFit="1" customWidth="1"/>
    <col min="4" max="4" width="14.54296875" style="13" bestFit="1" customWidth="1"/>
    <col min="5" max="5" width="16.26953125" bestFit="1" customWidth="1"/>
    <col min="6" max="7" width="10.7265625" style="13" customWidth="1"/>
  </cols>
  <sheetData>
    <row r="2" spans="2:7" x14ac:dyDescent="0.35">
      <c r="B2" s="132" t="s">
        <v>0</v>
      </c>
      <c r="C2" s="132"/>
      <c r="D2" s="132"/>
      <c r="E2" s="132"/>
      <c r="F2" s="132"/>
      <c r="G2" s="62"/>
    </row>
    <row r="3" spans="2:7" x14ac:dyDescent="0.35">
      <c r="B3" s="130" t="s">
        <v>5559</v>
      </c>
      <c r="C3" s="130"/>
      <c r="D3" s="130"/>
      <c r="E3" s="130"/>
      <c r="F3" s="130"/>
      <c r="G3"/>
    </row>
    <row r="4" spans="2:7" ht="16.399999999999999" customHeight="1" x14ac:dyDescent="0.35">
      <c r="B4" s="130" t="s">
        <v>6815</v>
      </c>
      <c r="C4" s="130"/>
      <c r="D4" s="130"/>
      <c r="E4" s="130"/>
      <c r="F4" s="130"/>
      <c r="G4"/>
    </row>
    <row r="5" spans="2:7" ht="16.399999999999999" customHeight="1" x14ac:dyDescent="0.35"/>
    <row r="6" spans="2:7" ht="29" x14ac:dyDescent="0.35">
      <c r="C6" s="116" t="s">
        <v>2565</v>
      </c>
      <c r="D6" s="22" t="s">
        <v>2784</v>
      </c>
      <c r="E6" s="22" t="s">
        <v>2614</v>
      </c>
      <c r="F6"/>
      <c r="G6"/>
    </row>
    <row r="7" spans="2:7" x14ac:dyDescent="0.35">
      <c r="C7" s="2" t="s">
        <v>2574</v>
      </c>
      <c r="D7" s="13">
        <v>52439000</v>
      </c>
      <c r="E7" s="13">
        <v>20457867.850000001</v>
      </c>
      <c r="F7"/>
      <c r="G7"/>
    </row>
    <row r="8" spans="2:7" x14ac:dyDescent="0.35">
      <c r="C8" s="2" t="s">
        <v>3412</v>
      </c>
      <c r="D8" s="13">
        <v>325000</v>
      </c>
      <c r="E8" s="13">
        <v>71158.929999999993</v>
      </c>
      <c r="F8"/>
      <c r="G8"/>
    </row>
    <row r="9" spans="2:7" x14ac:dyDescent="0.35">
      <c r="C9" s="135" t="s">
        <v>3335</v>
      </c>
      <c r="D9" s="13">
        <v>10000</v>
      </c>
      <c r="E9" s="13">
        <v>10000</v>
      </c>
      <c r="F9"/>
      <c r="G9"/>
    </row>
    <row r="10" spans="2:7" x14ac:dyDescent="0.35">
      <c r="C10" s="2" t="s">
        <v>5558</v>
      </c>
      <c r="D10" s="13">
        <v>1512130</v>
      </c>
      <c r="E10" s="13">
        <v>420832.54</v>
      </c>
      <c r="F10"/>
      <c r="G10"/>
    </row>
    <row r="11" spans="2:7" x14ac:dyDescent="0.35">
      <c r="C11" s="135" t="s">
        <v>2583</v>
      </c>
      <c r="D11" s="13">
        <v>65085031</v>
      </c>
      <c r="E11" s="13">
        <v>52374473.780000001</v>
      </c>
      <c r="F11"/>
      <c r="G11"/>
    </row>
    <row r="12" spans="2:7" x14ac:dyDescent="0.35">
      <c r="C12" s="135" t="s">
        <v>2587</v>
      </c>
      <c r="D12" s="13">
        <v>22999600</v>
      </c>
      <c r="E12" s="13">
        <v>8152602.4199999999</v>
      </c>
      <c r="F12"/>
      <c r="G12"/>
    </row>
    <row r="13" spans="2:7" x14ac:dyDescent="0.35">
      <c r="C13" s="2" t="s">
        <v>6331</v>
      </c>
      <c r="D13" s="13">
        <v>75000</v>
      </c>
      <c r="E13" s="13">
        <v>68250</v>
      </c>
      <c r="F13"/>
      <c r="G13"/>
    </row>
    <row r="14" spans="2:7" x14ac:dyDescent="0.35">
      <c r="C14" s="135" t="s">
        <v>3336</v>
      </c>
      <c r="D14" s="13">
        <v>157573.25</v>
      </c>
      <c r="E14" s="13">
        <v>143507</v>
      </c>
      <c r="F14"/>
      <c r="G14"/>
    </row>
    <row r="15" spans="2:7" x14ac:dyDescent="0.35">
      <c r="C15" s="135" t="s">
        <v>3092</v>
      </c>
      <c r="D15" s="13">
        <v>3903279.47</v>
      </c>
      <c r="E15" s="13">
        <v>2443124.5700000003</v>
      </c>
      <c r="F15"/>
      <c r="G15"/>
    </row>
    <row r="16" spans="2:7" x14ac:dyDescent="0.35">
      <c r="C16" s="2" t="s">
        <v>5784</v>
      </c>
      <c r="D16" s="13">
        <v>1606000</v>
      </c>
      <c r="E16" s="13">
        <v>0</v>
      </c>
      <c r="F16"/>
      <c r="G16"/>
    </row>
    <row r="17" spans="3:7" x14ac:dyDescent="0.35">
      <c r="C17" s="2" t="s">
        <v>3802</v>
      </c>
      <c r="D17" s="13">
        <v>245000</v>
      </c>
      <c r="E17" s="13">
        <v>79935.5</v>
      </c>
      <c r="F17"/>
      <c r="G17"/>
    </row>
    <row r="18" spans="3:7" x14ac:dyDescent="0.35">
      <c r="C18" s="135" t="s">
        <v>2584</v>
      </c>
      <c r="D18" s="13">
        <v>29334936</v>
      </c>
      <c r="E18" s="13">
        <v>10198663.129999999</v>
      </c>
      <c r="F18"/>
      <c r="G18"/>
    </row>
    <row r="19" spans="3:7" x14ac:dyDescent="0.35">
      <c r="C19" s="135" t="s">
        <v>2595</v>
      </c>
      <c r="D19" s="13">
        <v>750000</v>
      </c>
      <c r="E19" s="13">
        <v>0</v>
      </c>
      <c r="F19"/>
      <c r="G19"/>
    </row>
    <row r="20" spans="3:7" x14ac:dyDescent="0.35">
      <c r="C20" s="135" t="s">
        <v>3555</v>
      </c>
      <c r="D20" s="13">
        <v>6603105.0499999998</v>
      </c>
      <c r="E20" s="13">
        <v>2933245.6199999996</v>
      </c>
      <c r="F20"/>
      <c r="G20"/>
    </row>
    <row r="21" spans="3:7" x14ac:dyDescent="0.35">
      <c r="C21" s="135" t="s">
        <v>3181</v>
      </c>
      <c r="D21" s="13">
        <v>4235871</v>
      </c>
      <c r="E21" s="13">
        <v>1875103.47</v>
      </c>
      <c r="F21"/>
      <c r="G21"/>
    </row>
    <row r="22" spans="3:7" x14ac:dyDescent="0.35">
      <c r="C22" s="135" t="s">
        <v>3182</v>
      </c>
      <c r="D22" s="13">
        <v>818466.85</v>
      </c>
      <c r="E22" s="13">
        <v>612831.85</v>
      </c>
      <c r="F22"/>
      <c r="G22"/>
    </row>
    <row r="23" spans="3:7" x14ac:dyDescent="0.35">
      <c r="C23" s="2" t="s">
        <v>4819</v>
      </c>
      <c r="D23" s="13">
        <v>350000</v>
      </c>
      <c r="E23" s="13">
        <v>317545.71999999997</v>
      </c>
      <c r="F23"/>
      <c r="G23"/>
    </row>
    <row r="24" spans="3:7" x14ac:dyDescent="0.35">
      <c r="C24" s="135" t="s">
        <v>3417</v>
      </c>
      <c r="D24" s="13">
        <v>807500</v>
      </c>
      <c r="E24" s="13">
        <v>374293.91</v>
      </c>
      <c r="F24"/>
      <c r="G24"/>
    </row>
    <row r="25" spans="3:7" x14ac:dyDescent="0.35">
      <c r="C25" s="2" t="s">
        <v>5076</v>
      </c>
      <c r="D25" s="13">
        <v>978253.5</v>
      </c>
      <c r="E25" s="13">
        <v>925079.02</v>
      </c>
      <c r="F25"/>
      <c r="G25"/>
    </row>
    <row r="26" spans="3:7" x14ac:dyDescent="0.35">
      <c r="C26" s="2" t="s">
        <v>6810</v>
      </c>
      <c r="D26" s="13">
        <v>83500</v>
      </c>
      <c r="E26" s="13">
        <v>71285.98</v>
      </c>
      <c r="F26"/>
      <c r="G26"/>
    </row>
    <row r="27" spans="3:7" x14ac:dyDescent="0.35">
      <c r="C27" s="135" t="s">
        <v>3689</v>
      </c>
      <c r="D27" s="13">
        <v>45523</v>
      </c>
      <c r="E27" s="13">
        <v>2000</v>
      </c>
      <c r="F27"/>
      <c r="G27"/>
    </row>
    <row r="28" spans="3:7" x14ac:dyDescent="0.35">
      <c r="C28" s="135" t="s">
        <v>2592</v>
      </c>
      <c r="D28" s="13">
        <v>38780</v>
      </c>
      <c r="E28" s="13">
        <v>0</v>
      </c>
      <c r="F28"/>
      <c r="G28"/>
    </row>
    <row r="29" spans="3:7" x14ac:dyDescent="0.35">
      <c r="C29" s="2" t="s">
        <v>5847</v>
      </c>
      <c r="D29" s="13">
        <v>42702560.700000003</v>
      </c>
      <c r="E29" s="13">
        <v>42498290.700000003</v>
      </c>
      <c r="F29"/>
      <c r="G29"/>
    </row>
    <row r="30" spans="3:7" x14ac:dyDescent="0.35">
      <c r="C30" s="2" t="s">
        <v>5804</v>
      </c>
      <c r="D30" s="13">
        <v>65000</v>
      </c>
      <c r="E30" s="13">
        <v>15000</v>
      </c>
      <c r="F30"/>
      <c r="G30"/>
    </row>
    <row r="31" spans="3:7" x14ac:dyDescent="0.35">
      <c r="C31" s="2" t="s">
        <v>5803</v>
      </c>
      <c r="D31" s="13">
        <v>40000</v>
      </c>
      <c r="E31" s="13">
        <v>4696</v>
      </c>
      <c r="F31"/>
      <c r="G31"/>
    </row>
    <row r="32" spans="3:7" x14ac:dyDescent="0.35">
      <c r="C32" s="2" t="s">
        <v>2706</v>
      </c>
      <c r="D32" s="13">
        <v>10000</v>
      </c>
      <c r="E32" s="13">
        <v>3648.5299999999997</v>
      </c>
      <c r="F32"/>
      <c r="G32"/>
    </row>
    <row r="33" spans="3:7" x14ac:dyDescent="0.35">
      <c r="C33" s="135" t="s">
        <v>2585</v>
      </c>
      <c r="D33" s="13">
        <v>48687714.780000001</v>
      </c>
      <c r="E33" s="13">
        <v>37449151.939999998</v>
      </c>
      <c r="F33"/>
      <c r="G33"/>
    </row>
    <row r="34" spans="3:7" x14ac:dyDescent="0.35">
      <c r="C34" s="135" t="s">
        <v>2589</v>
      </c>
      <c r="D34" s="13">
        <v>19764000</v>
      </c>
      <c r="E34" s="13">
        <v>8157420.7499999991</v>
      </c>
      <c r="F34"/>
      <c r="G34"/>
    </row>
    <row r="35" spans="3:7" x14ac:dyDescent="0.35">
      <c r="C35" s="2" t="s">
        <v>6538</v>
      </c>
      <c r="D35" s="13">
        <v>125000</v>
      </c>
      <c r="E35" s="13">
        <v>1011.1600000000035</v>
      </c>
      <c r="F35"/>
      <c r="G35"/>
    </row>
    <row r="36" spans="3:7" x14ac:dyDescent="0.35">
      <c r="C36" s="2" t="s">
        <v>6046</v>
      </c>
      <c r="D36" s="13">
        <v>500000</v>
      </c>
      <c r="E36" s="13">
        <v>0</v>
      </c>
      <c r="F36"/>
      <c r="G36"/>
    </row>
    <row r="37" spans="3:7" x14ac:dyDescent="0.35">
      <c r="C37" s="135" t="s">
        <v>2586</v>
      </c>
      <c r="D37" s="13">
        <v>313123250.11000001</v>
      </c>
      <c r="E37" s="13">
        <v>233795934.12</v>
      </c>
      <c r="F37"/>
      <c r="G37"/>
    </row>
    <row r="38" spans="3:7" x14ac:dyDescent="0.35">
      <c r="C38" s="135" t="s">
        <v>2591</v>
      </c>
      <c r="D38" s="13">
        <v>33950833.920000002</v>
      </c>
      <c r="E38" s="13">
        <v>11094755.639999999</v>
      </c>
    </row>
    <row r="39" spans="3:7" x14ac:dyDescent="0.35">
      <c r="C39" s="135" t="s">
        <v>2573</v>
      </c>
      <c r="D39" s="13">
        <v>351237.6</v>
      </c>
      <c r="E39" s="13">
        <v>107074.10999999999</v>
      </c>
    </row>
    <row r="40" spans="3:7" x14ac:dyDescent="0.35">
      <c r="C40" s="135" t="s">
        <v>2581</v>
      </c>
      <c r="D40" s="13">
        <v>1544819</v>
      </c>
      <c r="E40" s="13">
        <v>280219</v>
      </c>
    </row>
    <row r="41" spans="3:7" x14ac:dyDescent="0.35">
      <c r="C41" s="135" t="s">
        <v>3183</v>
      </c>
      <c r="D41" s="13">
        <v>16399.02</v>
      </c>
      <c r="E41" s="13">
        <v>15107.53</v>
      </c>
    </row>
    <row r="42" spans="3:7" x14ac:dyDescent="0.35">
      <c r="C42" s="2" t="s">
        <v>4704</v>
      </c>
      <c r="D42" s="13">
        <v>2511289</v>
      </c>
      <c r="E42" s="13">
        <v>1022671.47</v>
      </c>
    </row>
    <row r="43" spans="3:7" x14ac:dyDescent="0.35">
      <c r="C43" s="2" t="s">
        <v>6663</v>
      </c>
      <c r="D43" s="13">
        <v>35000</v>
      </c>
      <c r="E43" s="13">
        <v>30000</v>
      </c>
    </row>
    <row r="44" spans="3:7" x14ac:dyDescent="0.35">
      <c r="C44" s="2" t="s">
        <v>6968</v>
      </c>
      <c r="D44" s="13">
        <v>70000</v>
      </c>
      <c r="E44" s="13">
        <v>43000</v>
      </c>
    </row>
    <row r="45" spans="3:7" x14ac:dyDescent="0.35">
      <c r="C45" s="135" t="s">
        <v>2655</v>
      </c>
      <c r="D45" s="13">
        <v>18580440</v>
      </c>
      <c r="E45" s="13">
        <v>12125000</v>
      </c>
    </row>
    <row r="46" spans="3:7" x14ac:dyDescent="0.35">
      <c r="C46" s="2" t="s">
        <v>6056</v>
      </c>
      <c r="D46" s="13">
        <v>70000</v>
      </c>
      <c r="E46" s="13">
        <v>1266.4599999999919</v>
      </c>
    </row>
    <row r="47" spans="3:7" x14ac:dyDescent="0.35">
      <c r="C47" s="2" t="s">
        <v>6929</v>
      </c>
      <c r="D47" s="13">
        <v>150000</v>
      </c>
      <c r="E47" s="13">
        <v>150000</v>
      </c>
    </row>
    <row r="48" spans="3:7" x14ac:dyDescent="0.35">
      <c r="C48" s="135" t="s">
        <v>3384</v>
      </c>
      <c r="D48" s="13">
        <v>2100000</v>
      </c>
      <c r="E48" s="13">
        <v>989002.7</v>
      </c>
    </row>
    <row r="49" spans="3:5" x14ac:dyDescent="0.35">
      <c r="C49" s="135" t="s">
        <v>5557</v>
      </c>
      <c r="D49" s="13">
        <v>200000</v>
      </c>
      <c r="E49" s="13">
        <v>74130.33</v>
      </c>
    </row>
    <row r="50" spans="3:5" x14ac:dyDescent="0.35">
      <c r="C50" s="135" t="s">
        <v>2597</v>
      </c>
      <c r="D50" s="13">
        <v>1483614</v>
      </c>
      <c r="E50" s="13">
        <v>54696.409999999916</v>
      </c>
    </row>
    <row r="51" spans="3:5" x14ac:dyDescent="0.35">
      <c r="C51" s="2" t="s">
        <v>5670</v>
      </c>
      <c r="D51" s="13">
        <v>1903967</v>
      </c>
      <c r="E51" s="13">
        <v>769038.75</v>
      </c>
    </row>
    <row r="52" spans="3:5" x14ac:dyDescent="0.35">
      <c r="C52" s="2" t="s">
        <v>3665</v>
      </c>
      <c r="D52" s="13">
        <v>5860000</v>
      </c>
      <c r="E52" s="13">
        <v>3600000</v>
      </c>
    </row>
    <row r="53" spans="3:5" x14ac:dyDescent="0.35">
      <c r="C53" s="23" t="s">
        <v>2559</v>
      </c>
      <c r="D53" s="107">
        <v>686248674.25</v>
      </c>
      <c r="E53" s="107">
        <v>453812916.88999999</v>
      </c>
    </row>
  </sheetData>
  <mergeCells count="3">
    <mergeCell ref="B2:F2"/>
    <mergeCell ref="B3:F3"/>
    <mergeCell ref="B4:F4"/>
  </mergeCells>
  <pageMargins left="0.7" right="0.7" top="0.75" bottom="0.75" header="0.3" footer="0.3"/>
  <pageSetup scale="7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D863-683C-4A77-9B08-108CEF8CC297}">
  <dimension ref="A1:H146"/>
  <sheetViews>
    <sheetView topLeftCell="A134" zoomScaleNormal="100" workbookViewId="0">
      <selection activeCell="B149" sqref="B149"/>
    </sheetView>
  </sheetViews>
  <sheetFormatPr defaultRowHeight="14.5" x14ac:dyDescent="0.35"/>
  <cols>
    <col min="1" max="1" width="12.36328125" bestFit="1" customWidth="1"/>
    <col min="2" max="2" width="61.81640625" bestFit="1" customWidth="1"/>
    <col min="3" max="3" width="7.6328125" bestFit="1" customWidth="1"/>
  </cols>
  <sheetData>
    <row r="1" spans="1:8" x14ac:dyDescent="0.35">
      <c r="B1" s="14"/>
      <c r="C1" s="13"/>
      <c r="D1" s="13"/>
    </row>
    <row r="2" spans="1:8" x14ac:dyDescent="0.35">
      <c r="A2" s="132"/>
      <c r="B2" s="132"/>
      <c r="C2" s="132"/>
      <c r="D2" s="132"/>
      <c r="E2" s="132"/>
      <c r="F2" s="132"/>
      <c r="G2" s="132"/>
      <c r="H2" s="132"/>
    </row>
    <row r="3" spans="1:8" ht="30.5" customHeight="1" x14ac:dyDescent="0.35">
      <c r="A3" s="133" t="s">
        <v>5972</v>
      </c>
      <c r="B3" s="133"/>
      <c r="C3" s="133"/>
      <c r="D3" s="133"/>
    </row>
    <row r="4" spans="1:8" x14ac:dyDescent="0.35">
      <c r="A4" s="133" t="s">
        <v>6816</v>
      </c>
      <c r="B4" s="133"/>
      <c r="C4" s="133"/>
      <c r="D4" s="133"/>
    </row>
    <row r="5" spans="1:8" x14ac:dyDescent="0.35">
      <c r="B5" s="14"/>
    </row>
    <row r="6" spans="1:8" x14ac:dyDescent="0.35">
      <c r="C6" t="s">
        <v>2623</v>
      </c>
    </row>
    <row r="7" spans="1:8" x14ac:dyDescent="0.35">
      <c r="B7" s="2" t="s">
        <v>3089</v>
      </c>
      <c r="C7" s="136">
        <v>1</v>
      </c>
    </row>
    <row r="8" spans="1:8" x14ac:dyDescent="0.35">
      <c r="B8" s="15" t="s">
        <v>2619</v>
      </c>
      <c r="C8" s="136">
        <v>1</v>
      </c>
    </row>
    <row r="9" spans="1:8" x14ac:dyDescent="0.35">
      <c r="B9" s="78" t="s">
        <v>2600</v>
      </c>
      <c r="C9" s="136">
        <v>1</v>
      </c>
    </row>
    <row r="10" spans="1:8" x14ac:dyDescent="0.35">
      <c r="B10" s="2" t="s">
        <v>2555</v>
      </c>
      <c r="C10" s="136">
        <v>5</v>
      </c>
    </row>
    <row r="11" spans="1:8" x14ac:dyDescent="0.35">
      <c r="B11" s="2" t="s">
        <v>2556</v>
      </c>
      <c r="C11" s="136">
        <v>40</v>
      </c>
    </row>
    <row r="12" spans="1:8" x14ac:dyDescent="0.35">
      <c r="B12" s="2" t="s">
        <v>2557</v>
      </c>
      <c r="C12" s="136">
        <v>49</v>
      </c>
    </row>
    <row r="13" spans="1:8" x14ac:dyDescent="0.35">
      <c r="B13" s="2" t="s">
        <v>2558</v>
      </c>
      <c r="C13" s="136">
        <v>83</v>
      </c>
    </row>
    <row r="14" spans="1:8" x14ac:dyDescent="0.35">
      <c r="B14" s="2" t="s">
        <v>3090</v>
      </c>
      <c r="C14" s="136">
        <v>135</v>
      </c>
    </row>
    <row r="15" spans="1:8" x14ac:dyDescent="0.35">
      <c r="B15" s="2" t="s">
        <v>3091</v>
      </c>
      <c r="C15" s="136">
        <v>291</v>
      </c>
    </row>
    <row r="16" spans="1:8" x14ac:dyDescent="0.35">
      <c r="B16" s="2" t="s">
        <v>3589</v>
      </c>
      <c r="C16" s="136">
        <v>423</v>
      </c>
    </row>
    <row r="17" spans="2:3" x14ac:dyDescent="0.35">
      <c r="B17" s="2" t="s">
        <v>4751</v>
      </c>
      <c r="C17" s="136">
        <v>374</v>
      </c>
    </row>
    <row r="18" spans="2:3" x14ac:dyDescent="0.35">
      <c r="B18" s="15" t="s">
        <v>2620</v>
      </c>
      <c r="C18" s="136">
        <v>97</v>
      </c>
    </row>
    <row r="19" spans="2:3" x14ac:dyDescent="0.35">
      <c r="B19" s="78" t="s">
        <v>2609</v>
      </c>
      <c r="C19" s="136">
        <v>2</v>
      </c>
    </row>
    <row r="20" spans="2:3" x14ac:dyDescent="0.35">
      <c r="B20" s="78" t="s">
        <v>2602</v>
      </c>
      <c r="C20" s="136">
        <v>67</v>
      </c>
    </row>
    <row r="21" spans="2:3" x14ac:dyDescent="0.35">
      <c r="B21" s="81" t="s">
        <v>3412</v>
      </c>
      <c r="C21" s="136">
        <v>2</v>
      </c>
    </row>
    <row r="22" spans="2:3" x14ac:dyDescent="0.35">
      <c r="B22" s="81" t="s">
        <v>5558</v>
      </c>
      <c r="C22" s="136">
        <v>2</v>
      </c>
    </row>
    <row r="23" spans="2:3" x14ac:dyDescent="0.35">
      <c r="B23" s="81" t="s">
        <v>2583</v>
      </c>
      <c r="C23" s="136">
        <v>20</v>
      </c>
    </row>
    <row r="24" spans="2:3" x14ac:dyDescent="0.35">
      <c r="B24" s="81" t="s">
        <v>2587</v>
      </c>
      <c r="C24" s="136">
        <v>3</v>
      </c>
    </row>
    <row r="25" spans="2:3" x14ac:dyDescent="0.35">
      <c r="B25" s="81" t="s">
        <v>3181</v>
      </c>
      <c r="C25" s="136">
        <v>1</v>
      </c>
    </row>
    <row r="26" spans="2:3" x14ac:dyDescent="0.35">
      <c r="B26" s="81" t="s">
        <v>2585</v>
      </c>
      <c r="C26" s="136">
        <v>2</v>
      </c>
    </row>
    <row r="27" spans="2:3" x14ac:dyDescent="0.35">
      <c r="B27" s="81" t="s">
        <v>2586</v>
      </c>
      <c r="C27" s="136">
        <v>24</v>
      </c>
    </row>
    <row r="28" spans="2:3" x14ac:dyDescent="0.35">
      <c r="B28" s="81" t="s">
        <v>2591</v>
      </c>
      <c r="C28" s="136">
        <v>4</v>
      </c>
    </row>
    <row r="29" spans="2:3" x14ac:dyDescent="0.35">
      <c r="B29" s="81" t="s">
        <v>2573</v>
      </c>
      <c r="C29" s="136">
        <v>2</v>
      </c>
    </row>
    <row r="30" spans="2:3" x14ac:dyDescent="0.35">
      <c r="B30" s="81" t="s">
        <v>2581</v>
      </c>
      <c r="C30" s="136">
        <v>7</v>
      </c>
    </row>
    <row r="31" spans="2:3" x14ac:dyDescent="0.35">
      <c r="B31" s="78" t="s">
        <v>2603</v>
      </c>
      <c r="C31" s="136">
        <v>28</v>
      </c>
    </row>
    <row r="32" spans="2:3" x14ac:dyDescent="0.35">
      <c r="B32" s="81" t="s">
        <v>2583</v>
      </c>
      <c r="C32" s="136">
        <v>9</v>
      </c>
    </row>
    <row r="33" spans="2:3" x14ac:dyDescent="0.35">
      <c r="B33" s="81" t="s">
        <v>5076</v>
      </c>
      <c r="C33" s="136">
        <v>1</v>
      </c>
    </row>
    <row r="34" spans="2:3" x14ac:dyDescent="0.35">
      <c r="B34" s="81" t="s">
        <v>2585</v>
      </c>
      <c r="C34" s="136">
        <v>2</v>
      </c>
    </row>
    <row r="35" spans="2:3" x14ac:dyDescent="0.35">
      <c r="B35" s="81" t="s">
        <v>2586</v>
      </c>
      <c r="C35" s="136">
        <v>8</v>
      </c>
    </row>
    <row r="36" spans="2:3" x14ac:dyDescent="0.35">
      <c r="B36" s="81" t="s">
        <v>2581</v>
      </c>
      <c r="C36" s="136">
        <v>7</v>
      </c>
    </row>
    <row r="37" spans="2:3" x14ac:dyDescent="0.35">
      <c r="B37" s="81" t="s">
        <v>2655</v>
      </c>
      <c r="C37" s="136">
        <v>1</v>
      </c>
    </row>
    <row r="38" spans="2:3" x14ac:dyDescent="0.35">
      <c r="B38" s="15" t="s">
        <v>2621</v>
      </c>
      <c r="C38" s="136">
        <v>48</v>
      </c>
    </row>
    <row r="39" spans="2:3" x14ac:dyDescent="0.35">
      <c r="B39" s="78" t="s">
        <v>2610</v>
      </c>
      <c r="C39" s="136">
        <v>19</v>
      </c>
    </row>
    <row r="40" spans="2:3" x14ac:dyDescent="0.35">
      <c r="B40" s="81" t="s">
        <v>2583</v>
      </c>
      <c r="C40" s="136">
        <v>7</v>
      </c>
    </row>
    <row r="41" spans="2:3" x14ac:dyDescent="0.35">
      <c r="B41" s="81" t="s">
        <v>5076</v>
      </c>
      <c r="C41" s="136">
        <v>1</v>
      </c>
    </row>
    <row r="42" spans="2:3" x14ac:dyDescent="0.35">
      <c r="B42" s="81" t="s">
        <v>2586</v>
      </c>
      <c r="C42" s="136">
        <v>11</v>
      </c>
    </row>
    <row r="43" spans="2:3" x14ac:dyDescent="0.35">
      <c r="B43" s="78" t="s">
        <v>2604</v>
      </c>
      <c r="C43" s="136">
        <v>5</v>
      </c>
    </row>
    <row r="44" spans="2:3" x14ac:dyDescent="0.35">
      <c r="B44" s="81" t="s">
        <v>2583</v>
      </c>
      <c r="C44" s="136">
        <v>2</v>
      </c>
    </row>
    <row r="45" spans="2:3" x14ac:dyDescent="0.35">
      <c r="B45" s="81" t="s">
        <v>2586</v>
      </c>
      <c r="C45" s="136">
        <v>3</v>
      </c>
    </row>
    <row r="46" spans="2:3" x14ac:dyDescent="0.35">
      <c r="B46" s="78" t="s">
        <v>2598</v>
      </c>
      <c r="C46" s="136">
        <v>24</v>
      </c>
    </row>
    <row r="47" spans="2:3" x14ac:dyDescent="0.35">
      <c r="B47" s="81" t="s">
        <v>2583</v>
      </c>
      <c r="C47" s="136">
        <v>6</v>
      </c>
    </row>
    <row r="48" spans="2:3" x14ac:dyDescent="0.35">
      <c r="B48" s="81" t="s">
        <v>5784</v>
      </c>
      <c r="C48" s="136">
        <v>1</v>
      </c>
    </row>
    <row r="49" spans="2:3" x14ac:dyDescent="0.35">
      <c r="B49" s="81" t="s">
        <v>5076</v>
      </c>
      <c r="C49" s="136">
        <v>2</v>
      </c>
    </row>
    <row r="50" spans="2:3" x14ac:dyDescent="0.35">
      <c r="B50" s="81" t="s">
        <v>2586</v>
      </c>
      <c r="C50" s="136">
        <v>4</v>
      </c>
    </row>
    <row r="51" spans="2:3" x14ac:dyDescent="0.35">
      <c r="B51" s="81" t="s">
        <v>2581</v>
      </c>
      <c r="C51" s="136">
        <v>10</v>
      </c>
    </row>
    <row r="52" spans="2:3" x14ac:dyDescent="0.35">
      <c r="B52" s="81" t="s">
        <v>6056</v>
      </c>
      <c r="C52" s="136">
        <v>1</v>
      </c>
    </row>
    <row r="53" spans="2:3" x14ac:dyDescent="0.35">
      <c r="B53" s="15" t="s">
        <v>2618</v>
      </c>
      <c r="C53" s="136">
        <v>145</v>
      </c>
    </row>
    <row r="54" spans="2:3" x14ac:dyDescent="0.35">
      <c r="B54" s="78" t="s">
        <v>2599</v>
      </c>
      <c r="C54" s="136">
        <v>17</v>
      </c>
    </row>
    <row r="55" spans="2:3" x14ac:dyDescent="0.35">
      <c r="B55" s="81" t="s">
        <v>5558</v>
      </c>
      <c r="C55" s="136">
        <v>3</v>
      </c>
    </row>
    <row r="56" spans="2:3" x14ac:dyDescent="0.35">
      <c r="B56" s="81" t="s">
        <v>2583</v>
      </c>
      <c r="C56" s="136">
        <v>7</v>
      </c>
    </row>
    <row r="57" spans="2:3" x14ac:dyDescent="0.35">
      <c r="B57" s="81" t="s">
        <v>2584</v>
      </c>
      <c r="C57" s="136">
        <v>1</v>
      </c>
    </row>
    <row r="58" spans="2:3" x14ac:dyDescent="0.35">
      <c r="B58" s="81" t="s">
        <v>5076</v>
      </c>
      <c r="C58" s="136">
        <v>1</v>
      </c>
    </row>
    <row r="59" spans="2:3" x14ac:dyDescent="0.35">
      <c r="B59" s="81" t="s">
        <v>2586</v>
      </c>
      <c r="C59" s="136">
        <v>5</v>
      </c>
    </row>
    <row r="60" spans="2:3" x14ac:dyDescent="0.35">
      <c r="B60" s="78" t="s">
        <v>2608</v>
      </c>
      <c r="C60" s="136">
        <v>100</v>
      </c>
    </row>
    <row r="61" spans="2:3" x14ac:dyDescent="0.35">
      <c r="B61" s="78" t="s">
        <v>2606</v>
      </c>
      <c r="C61" s="136">
        <v>28</v>
      </c>
    </row>
    <row r="62" spans="2:3" x14ac:dyDescent="0.35">
      <c r="B62" s="15" t="s">
        <v>2619</v>
      </c>
      <c r="C62" s="136">
        <v>84</v>
      </c>
    </row>
    <row r="63" spans="2:3" x14ac:dyDescent="0.35">
      <c r="B63" s="78" t="s">
        <v>2600</v>
      </c>
      <c r="C63" s="136">
        <v>19</v>
      </c>
    </row>
    <row r="64" spans="2:3" x14ac:dyDescent="0.35">
      <c r="B64" s="78" t="s">
        <v>2601</v>
      </c>
      <c r="C64" s="136">
        <v>30</v>
      </c>
    </row>
    <row r="65" spans="2:3" x14ac:dyDescent="0.35">
      <c r="B65" s="81" t="s">
        <v>2583</v>
      </c>
      <c r="C65" s="136">
        <v>8</v>
      </c>
    </row>
    <row r="66" spans="2:3" x14ac:dyDescent="0.35">
      <c r="B66" s="81" t="s">
        <v>4819</v>
      </c>
      <c r="C66" s="136">
        <v>1</v>
      </c>
    </row>
    <row r="67" spans="2:3" x14ac:dyDescent="0.35">
      <c r="B67" s="81" t="s">
        <v>5847</v>
      </c>
      <c r="C67" s="136">
        <v>7</v>
      </c>
    </row>
    <row r="68" spans="2:3" x14ac:dyDescent="0.35">
      <c r="B68" s="81" t="s">
        <v>5804</v>
      </c>
      <c r="C68" s="136">
        <v>1</v>
      </c>
    </row>
    <row r="69" spans="2:3" x14ac:dyDescent="0.35">
      <c r="B69" s="81" t="s">
        <v>2573</v>
      </c>
      <c r="C69" s="136">
        <v>5</v>
      </c>
    </row>
    <row r="70" spans="2:3" x14ac:dyDescent="0.35">
      <c r="B70" s="81" t="s">
        <v>2581</v>
      </c>
      <c r="C70" s="136">
        <v>5</v>
      </c>
    </row>
    <row r="71" spans="2:3" x14ac:dyDescent="0.35">
      <c r="B71" s="81" t="s">
        <v>4704</v>
      </c>
      <c r="C71" s="136">
        <v>2</v>
      </c>
    </row>
    <row r="72" spans="2:3" x14ac:dyDescent="0.35">
      <c r="B72" s="81" t="s">
        <v>3384</v>
      </c>
      <c r="C72" s="136">
        <v>1</v>
      </c>
    </row>
    <row r="73" spans="2:3" x14ac:dyDescent="0.35">
      <c r="B73" s="78" t="s">
        <v>2607</v>
      </c>
      <c r="C73" s="136">
        <v>35</v>
      </c>
    </row>
    <row r="74" spans="2:3" x14ac:dyDescent="0.35">
      <c r="B74" s="81" t="s">
        <v>5558</v>
      </c>
      <c r="C74" s="136">
        <v>2</v>
      </c>
    </row>
    <row r="75" spans="2:3" x14ac:dyDescent="0.35">
      <c r="B75" s="81" t="s">
        <v>2583</v>
      </c>
      <c r="C75" s="136">
        <v>3</v>
      </c>
    </row>
    <row r="76" spans="2:3" x14ac:dyDescent="0.35">
      <c r="B76" s="81" t="s">
        <v>5784</v>
      </c>
      <c r="C76" s="136">
        <v>1</v>
      </c>
    </row>
    <row r="77" spans="2:3" x14ac:dyDescent="0.35">
      <c r="B77" s="81" t="s">
        <v>3181</v>
      </c>
      <c r="C77" s="136">
        <v>12</v>
      </c>
    </row>
    <row r="78" spans="2:3" x14ac:dyDescent="0.35">
      <c r="B78" s="81" t="s">
        <v>3182</v>
      </c>
      <c r="C78" s="136">
        <v>3</v>
      </c>
    </row>
    <row r="79" spans="2:3" x14ac:dyDescent="0.35">
      <c r="B79" s="81" t="s">
        <v>5076</v>
      </c>
      <c r="C79" s="136">
        <v>3</v>
      </c>
    </row>
    <row r="80" spans="2:3" x14ac:dyDescent="0.35">
      <c r="B80" s="81" t="s">
        <v>5847</v>
      </c>
      <c r="C80" s="136">
        <v>2</v>
      </c>
    </row>
    <row r="81" spans="2:3" x14ac:dyDescent="0.35">
      <c r="B81" s="81" t="s">
        <v>2573</v>
      </c>
      <c r="C81" s="136">
        <v>1</v>
      </c>
    </row>
    <row r="82" spans="2:3" x14ac:dyDescent="0.35">
      <c r="B82" s="81" t="s">
        <v>2581</v>
      </c>
      <c r="C82" s="136">
        <v>7</v>
      </c>
    </row>
    <row r="83" spans="2:3" x14ac:dyDescent="0.35">
      <c r="B83" s="81" t="s">
        <v>6663</v>
      </c>
      <c r="C83" s="136">
        <v>1</v>
      </c>
    </row>
    <row r="84" spans="2:3" x14ac:dyDescent="0.35">
      <c r="B84" s="2" t="s">
        <v>6273</v>
      </c>
      <c r="C84" s="136">
        <v>291</v>
      </c>
    </row>
    <row r="85" spans="2:3" x14ac:dyDescent="0.35">
      <c r="B85" s="15" t="s">
        <v>2620</v>
      </c>
      <c r="C85" s="136">
        <v>145</v>
      </c>
    </row>
    <row r="86" spans="2:3" x14ac:dyDescent="0.35">
      <c r="B86" s="78" t="s">
        <v>2602</v>
      </c>
      <c r="C86" s="136">
        <v>79</v>
      </c>
    </row>
    <row r="87" spans="2:3" x14ac:dyDescent="0.35">
      <c r="B87" s="81" t="s">
        <v>2583</v>
      </c>
      <c r="C87" s="136">
        <v>2</v>
      </c>
    </row>
    <row r="88" spans="2:3" x14ac:dyDescent="0.35">
      <c r="B88" s="81" t="s">
        <v>3181</v>
      </c>
      <c r="C88" s="136">
        <v>12</v>
      </c>
    </row>
    <row r="89" spans="2:3" x14ac:dyDescent="0.35">
      <c r="B89" s="81" t="s">
        <v>3182</v>
      </c>
      <c r="C89" s="136">
        <v>30</v>
      </c>
    </row>
    <row r="90" spans="2:3" x14ac:dyDescent="0.35">
      <c r="B90" s="81" t="s">
        <v>5847</v>
      </c>
      <c r="C90" s="136">
        <v>3</v>
      </c>
    </row>
    <row r="91" spans="2:3" x14ac:dyDescent="0.35">
      <c r="B91" s="81" t="s">
        <v>2585</v>
      </c>
      <c r="C91" s="136">
        <v>1</v>
      </c>
    </row>
    <row r="92" spans="2:3" x14ac:dyDescent="0.35">
      <c r="B92" s="81" t="s">
        <v>2586</v>
      </c>
      <c r="C92" s="136">
        <v>1</v>
      </c>
    </row>
    <row r="93" spans="2:3" x14ac:dyDescent="0.35">
      <c r="B93" s="81" t="s">
        <v>2573</v>
      </c>
      <c r="C93" s="136">
        <v>23</v>
      </c>
    </row>
    <row r="94" spans="2:3" x14ac:dyDescent="0.35">
      <c r="B94" s="81" t="s">
        <v>2581</v>
      </c>
      <c r="C94" s="136">
        <v>4</v>
      </c>
    </row>
    <row r="95" spans="2:3" x14ac:dyDescent="0.35">
      <c r="B95" s="81" t="s">
        <v>4704</v>
      </c>
      <c r="C95" s="136">
        <v>2</v>
      </c>
    </row>
    <row r="96" spans="2:3" x14ac:dyDescent="0.35">
      <c r="B96" s="81" t="s">
        <v>6663</v>
      </c>
      <c r="C96" s="136">
        <v>1</v>
      </c>
    </row>
    <row r="97" spans="2:3" x14ac:dyDescent="0.35">
      <c r="B97" s="78" t="s">
        <v>2603</v>
      </c>
      <c r="C97" s="136">
        <v>66</v>
      </c>
    </row>
    <row r="98" spans="2:3" x14ac:dyDescent="0.35">
      <c r="B98" s="81" t="s">
        <v>5558</v>
      </c>
      <c r="C98" s="136">
        <v>1</v>
      </c>
    </row>
    <row r="99" spans="2:3" x14ac:dyDescent="0.35">
      <c r="B99" s="81" t="s">
        <v>2583</v>
      </c>
      <c r="C99" s="136">
        <v>7</v>
      </c>
    </row>
    <row r="100" spans="2:3" x14ac:dyDescent="0.35">
      <c r="B100" s="81" t="s">
        <v>2584</v>
      </c>
      <c r="C100" s="136">
        <v>1</v>
      </c>
    </row>
    <row r="101" spans="2:3" x14ac:dyDescent="0.35">
      <c r="B101" s="81" t="s">
        <v>3181</v>
      </c>
      <c r="C101" s="136">
        <v>3</v>
      </c>
    </row>
    <row r="102" spans="2:3" x14ac:dyDescent="0.35">
      <c r="B102" s="81" t="s">
        <v>3182</v>
      </c>
      <c r="C102" s="136">
        <v>12</v>
      </c>
    </row>
    <row r="103" spans="2:3" x14ac:dyDescent="0.35">
      <c r="B103" s="81" t="s">
        <v>5076</v>
      </c>
      <c r="C103" s="136">
        <v>4</v>
      </c>
    </row>
    <row r="104" spans="2:3" x14ac:dyDescent="0.35">
      <c r="B104" s="81" t="s">
        <v>5847</v>
      </c>
      <c r="C104" s="136">
        <v>9</v>
      </c>
    </row>
    <row r="105" spans="2:3" x14ac:dyDescent="0.35">
      <c r="B105" s="81" t="s">
        <v>2585</v>
      </c>
      <c r="C105" s="136">
        <v>4</v>
      </c>
    </row>
    <row r="106" spans="2:3" x14ac:dyDescent="0.35">
      <c r="B106" s="81" t="s">
        <v>2573</v>
      </c>
      <c r="C106" s="136">
        <v>21</v>
      </c>
    </row>
    <row r="107" spans="2:3" x14ac:dyDescent="0.35">
      <c r="B107" s="81" t="s">
        <v>2581</v>
      </c>
      <c r="C107" s="136">
        <v>2</v>
      </c>
    </row>
    <row r="108" spans="2:3" x14ac:dyDescent="0.35">
      <c r="B108" s="81" t="s">
        <v>5670</v>
      </c>
      <c r="C108" s="136">
        <v>1</v>
      </c>
    </row>
    <row r="109" spans="2:3" x14ac:dyDescent="0.35">
      <c r="B109" s="81" t="s">
        <v>6331</v>
      </c>
      <c r="C109" s="136">
        <v>1</v>
      </c>
    </row>
    <row r="110" spans="2:3" x14ac:dyDescent="0.35">
      <c r="B110" s="15" t="s">
        <v>2621</v>
      </c>
      <c r="C110" s="136">
        <v>146</v>
      </c>
    </row>
    <row r="111" spans="2:3" x14ac:dyDescent="0.35">
      <c r="B111" s="78" t="s">
        <v>2610</v>
      </c>
      <c r="C111" s="136">
        <v>27</v>
      </c>
    </row>
    <row r="112" spans="2:3" x14ac:dyDescent="0.35">
      <c r="B112" s="81" t="s">
        <v>2583</v>
      </c>
      <c r="C112" s="136">
        <v>3</v>
      </c>
    </row>
    <row r="113" spans="2:3" x14ac:dyDescent="0.35">
      <c r="B113" s="81" t="s">
        <v>3181</v>
      </c>
      <c r="C113" s="136">
        <v>3</v>
      </c>
    </row>
    <row r="114" spans="2:3" x14ac:dyDescent="0.35">
      <c r="B114" s="81" t="s">
        <v>3182</v>
      </c>
      <c r="C114" s="136">
        <v>10</v>
      </c>
    </row>
    <row r="115" spans="2:3" x14ac:dyDescent="0.35">
      <c r="B115" s="81" t="s">
        <v>5076</v>
      </c>
      <c r="C115" s="136">
        <v>3</v>
      </c>
    </row>
    <row r="116" spans="2:3" x14ac:dyDescent="0.35">
      <c r="B116" s="81" t="s">
        <v>5847</v>
      </c>
      <c r="C116" s="136">
        <v>6</v>
      </c>
    </row>
    <row r="117" spans="2:3" x14ac:dyDescent="0.35">
      <c r="B117" s="81" t="s">
        <v>2573</v>
      </c>
      <c r="C117" s="136">
        <v>2</v>
      </c>
    </row>
    <row r="118" spans="2:3" x14ac:dyDescent="0.35">
      <c r="B118" s="78" t="s">
        <v>2604</v>
      </c>
      <c r="C118" s="136">
        <v>71</v>
      </c>
    </row>
    <row r="119" spans="2:3" x14ac:dyDescent="0.35">
      <c r="B119" s="81" t="s">
        <v>2583</v>
      </c>
      <c r="C119" s="136">
        <v>8</v>
      </c>
    </row>
    <row r="120" spans="2:3" x14ac:dyDescent="0.35">
      <c r="B120" s="81" t="s">
        <v>2584</v>
      </c>
      <c r="C120" s="136">
        <v>1</v>
      </c>
    </row>
    <row r="121" spans="2:3" x14ac:dyDescent="0.35">
      <c r="B121" s="81" t="s">
        <v>3181</v>
      </c>
      <c r="C121" s="136">
        <v>1</v>
      </c>
    </row>
    <row r="122" spans="2:3" x14ac:dyDescent="0.35">
      <c r="B122" s="81" t="s">
        <v>3182</v>
      </c>
      <c r="C122" s="136">
        <v>17</v>
      </c>
    </row>
    <row r="123" spans="2:3" x14ac:dyDescent="0.35">
      <c r="B123" s="81" t="s">
        <v>3689</v>
      </c>
      <c r="C123" s="136">
        <v>1</v>
      </c>
    </row>
    <row r="124" spans="2:3" x14ac:dyDescent="0.35">
      <c r="B124" s="81" t="s">
        <v>5847</v>
      </c>
      <c r="C124" s="136">
        <v>3</v>
      </c>
    </row>
    <row r="125" spans="2:3" x14ac:dyDescent="0.35">
      <c r="B125" s="81" t="s">
        <v>2585</v>
      </c>
      <c r="C125" s="136">
        <v>2</v>
      </c>
    </row>
    <row r="126" spans="2:3" x14ac:dyDescent="0.35">
      <c r="B126" s="81" t="s">
        <v>2586</v>
      </c>
      <c r="C126" s="136">
        <v>5</v>
      </c>
    </row>
    <row r="127" spans="2:3" x14ac:dyDescent="0.35">
      <c r="B127" s="81" t="s">
        <v>2573</v>
      </c>
      <c r="C127" s="136">
        <v>5</v>
      </c>
    </row>
    <row r="128" spans="2:3" x14ac:dyDescent="0.35">
      <c r="B128" s="81" t="s">
        <v>4704</v>
      </c>
      <c r="C128" s="136">
        <v>25</v>
      </c>
    </row>
    <row r="129" spans="2:3" x14ac:dyDescent="0.35">
      <c r="B129" s="81" t="s">
        <v>5670</v>
      </c>
      <c r="C129" s="136">
        <v>1</v>
      </c>
    </row>
    <row r="130" spans="2:3" x14ac:dyDescent="0.35">
      <c r="B130" s="81" t="s">
        <v>6810</v>
      </c>
      <c r="C130" s="136">
        <v>1</v>
      </c>
    </row>
    <row r="131" spans="2:3" x14ac:dyDescent="0.35">
      <c r="B131" s="81" t="s">
        <v>6929</v>
      </c>
      <c r="C131" s="136">
        <v>1</v>
      </c>
    </row>
    <row r="132" spans="2:3" x14ac:dyDescent="0.35">
      <c r="B132" s="78" t="s">
        <v>2598</v>
      </c>
      <c r="C132" s="136">
        <v>48</v>
      </c>
    </row>
    <row r="133" spans="2:3" x14ac:dyDescent="0.35">
      <c r="B133" s="81" t="s">
        <v>2574</v>
      </c>
      <c r="C133" s="136">
        <v>3</v>
      </c>
    </row>
    <row r="134" spans="2:3" x14ac:dyDescent="0.35">
      <c r="B134" s="81" t="s">
        <v>2583</v>
      </c>
      <c r="C134" s="136">
        <v>5</v>
      </c>
    </row>
    <row r="135" spans="2:3" x14ac:dyDescent="0.35">
      <c r="B135" s="81" t="s">
        <v>3181</v>
      </c>
      <c r="C135" s="136">
        <v>2</v>
      </c>
    </row>
    <row r="136" spans="2:3" x14ac:dyDescent="0.35">
      <c r="B136" s="81" t="s">
        <v>3182</v>
      </c>
      <c r="C136" s="136">
        <v>15</v>
      </c>
    </row>
    <row r="137" spans="2:3" x14ac:dyDescent="0.35">
      <c r="B137" s="81" t="s">
        <v>4819</v>
      </c>
      <c r="C137" s="136">
        <v>4</v>
      </c>
    </row>
    <row r="138" spans="2:3" x14ac:dyDescent="0.35">
      <c r="B138" s="81" t="s">
        <v>5076</v>
      </c>
      <c r="C138" s="136">
        <v>2</v>
      </c>
    </row>
    <row r="139" spans="2:3" x14ac:dyDescent="0.35">
      <c r="B139" s="81" t="s">
        <v>2586</v>
      </c>
      <c r="C139" s="136">
        <v>4</v>
      </c>
    </row>
    <row r="140" spans="2:3" x14ac:dyDescent="0.35">
      <c r="B140" s="81" t="s">
        <v>2573</v>
      </c>
      <c r="C140" s="136">
        <v>2</v>
      </c>
    </row>
    <row r="141" spans="2:3" x14ac:dyDescent="0.35">
      <c r="B141" s="81" t="s">
        <v>4704</v>
      </c>
      <c r="C141" s="136">
        <v>6</v>
      </c>
    </row>
    <row r="142" spans="2:3" x14ac:dyDescent="0.35">
      <c r="B142" s="81" t="s">
        <v>5670</v>
      </c>
      <c r="C142" s="136">
        <v>1</v>
      </c>
    </row>
    <row r="143" spans="2:3" x14ac:dyDescent="0.35">
      <c r="B143" s="81" t="s">
        <v>6810</v>
      </c>
      <c r="C143" s="136">
        <v>1</v>
      </c>
    </row>
    <row r="144" spans="2:3" x14ac:dyDescent="0.35">
      <c r="B144" s="81" t="s">
        <v>6968</v>
      </c>
      <c r="C144" s="136">
        <v>1</v>
      </c>
    </row>
    <row r="145" spans="2:3" x14ac:dyDescent="0.35">
      <c r="B145" s="81" t="s">
        <v>6663</v>
      </c>
      <c r="C145" s="136">
        <v>2</v>
      </c>
    </row>
    <row r="146" spans="2:3" x14ac:dyDescent="0.35">
      <c r="B146" s="2" t="s">
        <v>2553</v>
      </c>
      <c r="C146" s="136">
        <v>1692</v>
      </c>
    </row>
  </sheetData>
  <mergeCells count="3">
    <mergeCell ref="A3:D3"/>
    <mergeCell ref="A4:D4"/>
    <mergeCell ref="A2:H2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699"/>
  <sheetViews>
    <sheetView zoomScale="80" zoomScaleNormal="80" workbookViewId="0">
      <pane xSplit="3" ySplit="5" topLeftCell="J1684" activePane="bottomRight" state="frozen"/>
      <selection activeCell="B4" sqref="B4:F4"/>
      <selection pane="topRight" activeCell="B4" sqref="B4:F4"/>
      <selection pane="bottomLeft" activeCell="B4" sqref="B4:F4"/>
      <selection pane="bottomRight" activeCell="L1699" sqref="L1699"/>
    </sheetView>
  </sheetViews>
  <sheetFormatPr defaultColWidth="9.1796875" defaultRowHeight="14.5" x14ac:dyDescent="0.35"/>
  <cols>
    <col min="1" max="1" width="2" style="34" customWidth="1"/>
    <col min="2" max="2" width="22.26953125" style="55" customWidth="1"/>
    <col min="3" max="3" width="14.81640625" style="51" customWidth="1"/>
    <col min="4" max="6" width="11.7265625" style="56" customWidth="1"/>
    <col min="7" max="7" width="14.36328125" style="65" customWidth="1"/>
    <col min="8" max="8" width="40.6328125" style="57" customWidth="1"/>
    <col min="9" max="9" width="16.90625" style="55" customWidth="1"/>
    <col min="10" max="10" width="43.81640625" style="57" customWidth="1"/>
    <col min="11" max="11" width="43" style="57" customWidth="1"/>
    <col min="12" max="12" width="20" style="33" customWidth="1"/>
    <col min="13" max="13" width="16.453125" style="33" customWidth="1"/>
    <col min="14" max="14" width="17" style="33" customWidth="1"/>
    <col min="15" max="15" width="16.36328125" style="33" customWidth="1"/>
    <col min="16" max="16" width="43.7265625" style="57" customWidth="1"/>
    <col min="17" max="18" width="15.54296875" style="34" bestFit="1" customWidth="1"/>
    <col min="19" max="19" width="14.26953125" style="34" bestFit="1" customWidth="1"/>
    <col min="20" max="16384" width="9.1796875" style="34"/>
  </cols>
  <sheetData>
    <row r="1" spans="2:16" ht="18.5" x14ac:dyDescent="0.35">
      <c r="B1" s="134" t="s">
        <v>2873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2:16" ht="18.5" x14ac:dyDescent="0.35">
      <c r="B2" s="134" t="s">
        <v>2783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2:16" ht="18.5" x14ac:dyDescent="0.3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2:16" ht="18.5" x14ac:dyDescent="0.3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2:16" s="59" customFormat="1" ht="29" x14ac:dyDescent="0.35">
      <c r="B5" s="24" t="s">
        <v>2560</v>
      </c>
      <c r="C5" s="100" t="s">
        <v>1</v>
      </c>
      <c r="D5" s="58" t="s">
        <v>2561</v>
      </c>
      <c r="E5" s="58" t="s">
        <v>2562</v>
      </c>
      <c r="F5" s="58" t="s">
        <v>2605</v>
      </c>
      <c r="G5" s="24" t="s">
        <v>4955</v>
      </c>
      <c r="H5" s="25" t="s">
        <v>2563</v>
      </c>
      <c r="I5" s="25" t="s">
        <v>3</v>
      </c>
      <c r="J5" s="25" t="s">
        <v>2564</v>
      </c>
      <c r="K5" s="25" t="s">
        <v>2565</v>
      </c>
      <c r="L5" s="25" t="s">
        <v>2566</v>
      </c>
      <c r="M5" s="24" t="s">
        <v>2567</v>
      </c>
      <c r="N5" s="24" t="s">
        <v>2568</v>
      </c>
      <c r="O5" s="24" t="s">
        <v>5867</v>
      </c>
      <c r="P5" s="25" t="s">
        <v>2644</v>
      </c>
    </row>
    <row r="6" spans="2:16" ht="29" x14ac:dyDescent="0.35">
      <c r="B6" s="35" t="s">
        <v>2863</v>
      </c>
      <c r="C6" s="80" t="s">
        <v>2864</v>
      </c>
      <c r="D6" s="36">
        <v>42299</v>
      </c>
      <c r="E6" s="37">
        <v>42460</v>
      </c>
      <c r="F6" s="37">
        <v>45991</v>
      </c>
      <c r="G6" s="64" t="s">
        <v>6</v>
      </c>
      <c r="H6" s="43" t="s">
        <v>224</v>
      </c>
      <c r="I6" s="35" t="s">
        <v>2483</v>
      </c>
      <c r="J6" s="38" t="s">
        <v>4460</v>
      </c>
      <c r="K6" s="38" t="s">
        <v>2597</v>
      </c>
      <c r="L6" s="30">
        <v>1483614</v>
      </c>
      <c r="M6" s="30">
        <v>0</v>
      </c>
      <c r="N6" s="30">
        <f>1280556.49+24726.9+16484.6+16484.6+24726.9+8242+8242.3+49453.8</f>
        <v>1428917.59</v>
      </c>
      <c r="O6" s="30">
        <f t="shared" ref="O6:O69" si="0">L6-M6-N6</f>
        <v>54696.409999999916</v>
      </c>
      <c r="P6" s="26">
        <v>7.69</v>
      </c>
    </row>
    <row r="7" spans="2:16" x14ac:dyDescent="0.35">
      <c r="B7" s="39" t="s">
        <v>275</v>
      </c>
      <c r="C7" s="101" t="s">
        <v>276</v>
      </c>
      <c r="D7" s="40">
        <v>43159</v>
      </c>
      <c r="E7" s="40">
        <v>43201</v>
      </c>
      <c r="F7" s="40">
        <v>45026</v>
      </c>
      <c r="G7" s="63" t="s">
        <v>6</v>
      </c>
      <c r="H7" s="38" t="s">
        <v>277</v>
      </c>
      <c r="I7" s="39" t="s">
        <v>2483</v>
      </c>
      <c r="J7" s="38" t="s">
        <v>4466</v>
      </c>
      <c r="K7" s="38" t="s">
        <v>2587</v>
      </c>
      <c r="L7" s="31">
        <v>400000</v>
      </c>
      <c r="M7" s="31">
        <v>0</v>
      </c>
      <c r="N7" s="31">
        <v>300000</v>
      </c>
      <c r="O7" s="30">
        <f t="shared" si="0"/>
        <v>100000</v>
      </c>
      <c r="P7" s="26">
        <v>16.66</v>
      </c>
    </row>
    <row r="8" spans="2:16" x14ac:dyDescent="0.35">
      <c r="B8" s="39" t="s">
        <v>1533</v>
      </c>
      <c r="C8" s="101" t="s">
        <v>1534</v>
      </c>
      <c r="D8" s="40">
        <v>42992</v>
      </c>
      <c r="E8" s="40">
        <v>43433</v>
      </c>
      <c r="F8" s="40">
        <v>44528</v>
      </c>
      <c r="G8" s="63" t="s">
        <v>5683</v>
      </c>
      <c r="H8" s="38" t="s">
        <v>1535</v>
      </c>
      <c r="I8" s="39" t="s">
        <v>2501</v>
      </c>
      <c r="J8" s="38" t="s">
        <v>4461</v>
      </c>
      <c r="K8" s="38" t="s">
        <v>2587</v>
      </c>
      <c r="L8" s="31">
        <v>14000</v>
      </c>
      <c r="M8" s="31">
        <v>2800</v>
      </c>
      <c r="N8" s="31">
        <v>11200</v>
      </c>
      <c r="O8" s="30">
        <f t="shared" si="0"/>
        <v>0</v>
      </c>
      <c r="P8" s="26">
        <v>11.01</v>
      </c>
    </row>
    <row r="9" spans="2:16" x14ac:dyDescent="0.35">
      <c r="B9" s="39" t="s">
        <v>283</v>
      </c>
      <c r="C9" s="101" t="s">
        <v>284</v>
      </c>
      <c r="D9" s="40">
        <v>43194</v>
      </c>
      <c r="E9" s="40">
        <v>43451</v>
      </c>
      <c r="F9" s="40">
        <v>45459</v>
      </c>
      <c r="G9" s="63" t="s">
        <v>6</v>
      </c>
      <c r="H9" s="38" t="s">
        <v>285</v>
      </c>
      <c r="I9" s="39" t="s">
        <v>2538</v>
      </c>
      <c r="J9" s="38" t="s">
        <v>2577</v>
      </c>
      <c r="K9" s="38" t="s">
        <v>2587</v>
      </c>
      <c r="L9" s="31">
        <v>114000</v>
      </c>
      <c r="M9" s="31">
        <v>0</v>
      </c>
      <c r="N9" s="31">
        <f>39381.68+39381.68</f>
        <v>78763.360000000001</v>
      </c>
      <c r="O9" s="30">
        <f t="shared" si="0"/>
        <v>35236.639999999999</v>
      </c>
      <c r="P9" s="26">
        <v>23.58</v>
      </c>
    </row>
    <row r="10" spans="2:16" x14ac:dyDescent="0.35">
      <c r="B10" s="39" t="s">
        <v>410</v>
      </c>
      <c r="C10" s="101" t="s">
        <v>411</v>
      </c>
      <c r="D10" s="40">
        <v>43404</v>
      </c>
      <c r="E10" s="40">
        <v>43487</v>
      </c>
      <c r="F10" s="40">
        <v>45678</v>
      </c>
      <c r="G10" s="63" t="s">
        <v>6</v>
      </c>
      <c r="H10" s="38" t="s">
        <v>270</v>
      </c>
      <c r="I10" s="39" t="s">
        <v>2483</v>
      </c>
      <c r="J10" s="38" t="s">
        <v>2552</v>
      </c>
      <c r="K10" s="38" t="s">
        <v>2587</v>
      </c>
      <c r="L10" s="31">
        <v>2000000</v>
      </c>
      <c r="M10" s="31">
        <v>0</v>
      </c>
      <c r="N10" s="31">
        <v>1600000</v>
      </c>
      <c r="O10" s="30">
        <f t="shared" si="0"/>
        <v>400000</v>
      </c>
      <c r="P10" s="26">
        <v>2.2400000000000002</v>
      </c>
    </row>
    <row r="11" spans="2:16" ht="29" x14ac:dyDescent="0.35">
      <c r="B11" s="39" t="s">
        <v>1949</v>
      </c>
      <c r="C11" s="101" t="s">
        <v>1950</v>
      </c>
      <c r="D11" s="40">
        <v>43473</v>
      </c>
      <c r="E11" s="40">
        <v>43518</v>
      </c>
      <c r="F11" s="40">
        <v>45709</v>
      </c>
      <c r="G11" s="63" t="s">
        <v>5683</v>
      </c>
      <c r="H11" s="38" t="s">
        <v>1083</v>
      </c>
      <c r="I11" s="39" t="s">
        <v>2480</v>
      </c>
      <c r="J11" s="38" t="s">
        <v>4476</v>
      </c>
      <c r="K11" s="38" t="s">
        <v>2587</v>
      </c>
      <c r="L11" s="31">
        <v>107500</v>
      </c>
      <c r="M11" s="31">
        <v>28000</v>
      </c>
      <c r="N11" s="31">
        <v>37500</v>
      </c>
      <c r="O11" s="30">
        <f t="shared" si="0"/>
        <v>42000</v>
      </c>
      <c r="P11" s="26" t="s">
        <v>6513</v>
      </c>
    </row>
    <row r="12" spans="2:16" x14ac:dyDescent="0.35">
      <c r="B12" s="39" t="s">
        <v>1880</v>
      </c>
      <c r="C12" s="101" t="s">
        <v>1881</v>
      </c>
      <c r="D12" s="40">
        <v>43410</v>
      </c>
      <c r="E12" s="40">
        <v>43531</v>
      </c>
      <c r="F12" s="40">
        <v>45357</v>
      </c>
      <c r="G12" s="63" t="s">
        <v>5683</v>
      </c>
      <c r="H12" s="38" t="s">
        <v>1879</v>
      </c>
      <c r="I12" s="39" t="s">
        <v>2491</v>
      </c>
      <c r="J12" s="38" t="s">
        <v>4475</v>
      </c>
      <c r="K12" s="38" t="s">
        <v>2589</v>
      </c>
      <c r="L12" s="31">
        <v>49000</v>
      </c>
      <c r="M12" s="31">
        <v>49000</v>
      </c>
      <c r="N12" s="31">
        <v>0</v>
      </c>
      <c r="O12" s="30">
        <f t="shared" si="0"/>
        <v>0</v>
      </c>
      <c r="P12" s="26">
        <v>6.62</v>
      </c>
    </row>
    <row r="13" spans="2:16" x14ac:dyDescent="0.35">
      <c r="B13" s="39" t="s">
        <v>2027</v>
      </c>
      <c r="C13" s="101" t="s">
        <v>2028</v>
      </c>
      <c r="D13" s="40">
        <v>43490</v>
      </c>
      <c r="E13" s="40">
        <v>43543</v>
      </c>
      <c r="F13" s="40">
        <v>45369</v>
      </c>
      <c r="G13" s="63" t="s">
        <v>5683</v>
      </c>
      <c r="H13" s="38" t="s">
        <v>152</v>
      </c>
      <c r="I13" s="39" t="s">
        <v>2505</v>
      </c>
      <c r="J13" s="38" t="s">
        <v>2549</v>
      </c>
      <c r="K13" s="38" t="s">
        <v>2591</v>
      </c>
      <c r="L13" s="31">
        <v>250000</v>
      </c>
      <c r="M13" s="31">
        <v>9689.48</v>
      </c>
      <c r="N13" s="31">
        <v>240310.52</v>
      </c>
      <c r="O13" s="30">
        <f t="shared" si="0"/>
        <v>0</v>
      </c>
      <c r="P13" s="26">
        <v>13489.08</v>
      </c>
    </row>
    <row r="14" spans="2:16" x14ac:dyDescent="0.35">
      <c r="B14" s="39" t="s">
        <v>291</v>
      </c>
      <c r="C14" s="101" t="s">
        <v>292</v>
      </c>
      <c r="D14" s="40">
        <v>43230</v>
      </c>
      <c r="E14" s="40">
        <v>43545</v>
      </c>
      <c r="F14" s="40">
        <v>45555</v>
      </c>
      <c r="G14" s="63" t="s">
        <v>5683</v>
      </c>
      <c r="H14" s="38" t="s">
        <v>293</v>
      </c>
      <c r="I14" s="39" t="s">
        <v>2522</v>
      </c>
      <c r="J14" s="38" t="s">
        <v>2547</v>
      </c>
      <c r="K14" s="38" t="s">
        <v>2587</v>
      </c>
      <c r="L14" s="31">
        <v>400000</v>
      </c>
      <c r="M14" s="31">
        <v>127640.16</v>
      </c>
      <c r="N14" s="31">
        <f>173483.84+98876</f>
        <v>272359.83999999997</v>
      </c>
      <c r="O14" s="30">
        <f t="shared" si="0"/>
        <v>0</v>
      </c>
      <c r="P14" s="26" t="s">
        <v>6074</v>
      </c>
    </row>
    <row r="15" spans="2:16" x14ac:dyDescent="0.35">
      <c r="B15" s="39" t="s">
        <v>404</v>
      </c>
      <c r="C15" s="101" t="s">
        <v>405</v>
      </c>
      <c r="D15" s="40">
        <v>43349</v>
      </c>
      <c r="E15" s="40">
        <v>43552</v>
      </c>
      <c r="F15" s="40">
        <v>47204</v>
      </c>
      <c r="G15" s="63" t="s">
        <v>6</v>
      </c>
      <c r="H15" s="38" t="s">
        <v>406</v>
      </c>
      <c r="I15" s="39" t="s">
        <v>2500</v>
      </c>
      <c r="J15" s="38" t="s">
        <v>4470</v>
      </c>
      <c r="K15" s="38" t="s">
        <v>2589</v>
      </c>
      <c r="L15" s="31">
        <v>6800000</v>
      </c>
      <c r="M15" s="31">
        <v>0</v>
      </c>
      <c r="N15" s="31">
        <f>2164654.45+77492.35</f>
        <v>2242146.8000000003</v>
      </c>
      <c r="O15" s="30">
        <f t="shared" si="0"/>
        <v>4557853.1999999993</v>
      </c>
      <c r="P15" s="26">
        <v>9.93</v>
      </c>
    </row>
    <row r="16" spans="2:16" x14ac:dyDescent="0.35">
      <c r="B16" s="39" t="s">
        <v>352</v>
      </c>
      <c r="C16" s="101" t="s">
        <v>353</v>
      </c>
      <c r="D16" s="40">
        <v>43287</v>
      </c>
      <c r="E16" s="40">
        <v>43562</v>
      </c>
      <c r="F16" s="40">
        <v>45398</v>
      </c>
      <c r="G16" s="63" t="s">
        <v>5683</v>
      </c>
      <c r="H16" s="38" t="s">
        <v>354</v>
      </c>
      <c r="I16" s="39" t="s">
        <v>2477</v>
      </c>
      <c r="J16" s="38" t="s">
        <v>2549</v>
      </c>
      <c r="K16" s="38" t="s">
        <v>2587</v>
      </c>
      <c r="L16" s="31">
        <v>1500000</v>
      </c>
      <c r="M16" s="31">
        <v>1500000</v>
      </c>
      <c r="N16" s="31">
        <v>0</v>
      </c>
      <c r="O16" s="30">
        <f t="shared" si="0"/>
        <v>0</v>
      </c>
      <c r="P16" s="26">
        <v>729.19</v>
      </c>
    </row>
    <row r="17" spans="2:16" x14ac:dyDescent="0.35">
      <c r="B17" s="39" t="s">
        <v>323</v>
      </c>
      <c r="C17" s="101" t="s">
        <v>324</v>
      </c>
      <c r="D17" s="40">
        <v>43269</v>
      </c>
      <c r="E17" s="40">
        <v>43570</v>
      </c>
      <c r="F17" s="40">
        <v>45396</v>
      </c>
      <c r="G17" s="63" t="s">
        <v>6</v>
      </c>
      <c r="H17" s="38" t="s">
        <v>325</v>
      </c>
      <c r="I17" s="39" t="s">
        <v>2526</v>
      </c>
      <c r="J17" s="38" t="s">
        <v>4467</v>
      </c>
      <c r="K17" s="38" t="s">
        <v>2589</v>
      </c>
      <c r="L17" s="31">
        <v>1500000</v>
      </c>
      <c r="M17" s="31">
        <v>0</v>
      </c>
      <c r="N17" s="31">
        <v>870975.33</v>
      </c>
      <c r="O17" s="30">
        <f t="shared" si="0"/>
        <v>629024.67000000004</v>
      </c>
      <c r="P17" s="26">
        <v>48.7</v>
      </c>
    </row>
    <row r="18" spans="2:16" x14ac:dyDescent="0.35">
      <c r="B18" s="39" t="s">
        <v>355</v>
      </c>
      <c r="C18" s="101" t="s">
        <v>356</v>
      </c>
      <c r="D18" s="40">
        <v>43287</v>
      </c>
      <c r="E18" s="40">
        <v>43572</v>
      </c>
      <c r="F18" s="40">
        <v>45398</v>
      </c>
      <c r="G18" s="63" t="s">
        <v>5683</v>
      </c>
      <c r="H18" s="38" t="s">
        <v>354</v>
      </c>
      <c r="I18" s="39" t="s">
        <v>2477</v>
      </c>
      <c r="J18" s="38" t="s">
        <v>4468</v>
      </c>
      <c r="K18" s="38" t="s">
        <v>2589</v>
      </c>
      <c r="L18" s="31">
        <v>2500000</v>
      </c>
      <c r="M18" s="31">
        <v>2500000</v>
      </c>
      <c r="N18" s="31">
        <v>0</v>
      </c>
      <c r="O18" s="30">
        <f t="shared" si="0"/>
        <v>0</v>
      </c>
      <c r="P18" s="28">
        <v>0.81</v>
      </c>
    </row>
    <row r="19" spans="2:16" x14ac:dyDescent="0.35">
      <c r="B19" s="39" t="s">
        <v>541</v>
      </c>
      <c r="C19" s="101" t="s">
        <v>542</v>
      </c>
      <c r="D19" s="40">
        <v>43496</v>
      </c>
      <c r="E19" s="40">
        <v>43594</v>
      </c>
      <c r="F19" s="40">
        <v>45420</v>
      </c>
      <c r="G19" s="63" t="s">
        <v>5683</v>
      </c>
      <c r="H19" s="38" t="s">
        <v>540</v>
      </c>
      <c r="I19" s="39" t="s">
        <v>2473</v>
      </c>
      <c r="J19" s="38" t="s">
        <v>4479</v>
      </c>
      <c r="K19" s="38" t="s">
        <v>2587</v>
      </c>
      <c r="L19" s="31">
        <v>104000</v>
      </c>
      <c r="M19" s="31">
        <v>104000</v>
      </c>
      <c r="N19" s="31">
        <v>0</v>
      </c>
      <c r="O19" s="30">
        <f t="shared" si="0"/>
        <v>0</v>
      </c>
      <c r="P19" s="26">
        <v>-0.13</v>
      </c>
    </row>
    <row r="20" spans="2:16" ht="29" x14ac:dyDescent="0.35">
      <c r="B20" s="39" t="s">
        <v>470</v>
      </c>
      <c r="C20" s="101" t="s">
        <v>471</v>
      </c>
      <c r="D20" s="40">
        <v>43473</v>
      </c>
      <c r="E20" s="40">
        <v>43665</v>
      </c>
      <c r="F20" s="40">
        <v>45491</v>
      </c>
      <c r="G20" s="63" t="s">
        <v>6</v>
      </c>
      <c r="H20" s="38" t="s">
        <v>469</v>
      </c>
      <c r="I20" s="39" t="s">
        <v>2479</v>
      </c>
      <c r="J20" s="38" t="s">
        <v>2524</v>
      </c>
      <c r="K20" s="38" t="s">
        <v>2591</v>
      </c>
      <c r="L20" s="31">
        <v>3000000</v>
      </c>
      <c r="M20" s="31">
        <v>0</v>
      </c>
      <c r="N20" s="31">
        <v>2939588.37</v>
      </c>
      <c r="O20" s="30">
        <f t="shared" si="0"/>
        <v>60411.629999999888</v>
      </c>
      <c r="P20" s="26">
        <v>10.67</v>
      </c>
    </row>
    <row r="21" spans="2:16" x14ac:dyDescent="0.35">
      <c r="B21" s="39" t="s">
        <v>614</v>
      </c>
      <c r="C21" s="101" t="s">
        <v>615</v>
      </c>
      <c r="D21" s="40">
        <v>43661</v>
      </c>
      <c r="E21" s="40">
        <v>43683</v>
      </c>
      <c r="F21" s="40">
        <v>46239</v>
      </c>
      <c r="G21" s="63" t="s">
        <v>6</v>
      </c>
      <c r="H21" s="38" t="s">
        <v>354</v>
      </c>
      <c r="I21" s="39" t="s">
        <v>2477</v>
      </c>
      <c r="J21" s="38" t="s">
        <v>4468</v>
      </c>
      <c r="K21" s="38" t="s">
        <v>2587</v>
      </c>
      <c r="L21" s="31">
        <v>1750000</v>
      </c>
      <c r="M21" s="31">
        <v>0</v>
      </c>
      <c r="N21" s="31">
        <v>0</v>
      </c>
      <c r="O21" s="30">
        <f t="shared" si="0"/>
        <v>1750000</v>
      </c>
      <c r="P21" s="26">
        <v>4.82</v>
      </c>
    </row>
    <row r="22" spans="2:16" x14ac:dyDescent="0.35">
      <c r="B22" s="39" t="s">
        <v>472</v>
      </c>
      <c r="C22" s="101" t="s">
        <v>473</v>
      </c>
      <c r="D22" s="40">
        <v>43473</v>
      </c>
      <c r="E22" s="40">
        <v>43693</v>
      </c>
      <c r="F22" s="40">
        <v>45703</v>
      </c>
      <c r="G22" s="63" t="s">
        <v>5683</v>
      </c>
      <c r="H22" s="38" t="s">
        <v>282</v>
      </c>
      <c r="I22" s="39" t="s">
        <v>2481</v>
      </c>
      <c r="J22" s="38" t="s">
        <v>2552</v>
      </c>
      <c r="K22" s="38" t="s">
        <v>2587</v>
      </c>
      <c r="L22" s="31">
        <v>1080000</v>
      </c>
      <c r="M22" s="31">
        <v>708000</v>
      </c>
      <c r="N22" s="31">
        <f>559500-187500</f>
        <v>372000</v>
      </c>
      <c r="O22" s="30">
        <f t="shared" si="0"/>
        <v>0</v>
      </c>
      <c r="P22" s="26">
        <v>1.66</v>
      </c>
    </row>
    <row r="23" spans="2:16" x14ac:dyDescent="0.35">
      <c r="B23" s="39" t="s">
        <v>357</v>
      </c>
      <c r="C23" s="101" t="s">
        <v>358</v>
      </c>
      <c r="D23" s="40">
        <v>43287</v>
      </c>
      <c r="E23" s="40">
        <v>43697</v>
      </c>
      <c r="F23" s="40">
        <v>45707</v>
      </c>
      <c r="G23" s="63" t="s">
        <v>6</v>
      </c>
      <c r="H23" s="38" t="s">
        <v>359</v>
      </c>
      <c r="I23" s="39" t="s">
        <v>2508</v>
      </c>
      <c r="J23" s="38" t="s">
        <v>4466</v>
      </c>
      <c r="K23" s="38" t="s">
        <v>2587</v>
      </c>
      <c r="L23" s="31">
        <v>1650000</v>
      </c>
      <c r="M23" s="31">
        <v>0</v>
      </c>
      <c r="N23" s="31">
        <v>652384.22</v>
      </c>
      <c r="O23" s="30">
        <f t="shared" si="0"/>
        <v>997615.78</v>
      </c>
      <c r="P23" s="27" t="s">
        <v>3088</v>
      </c>
    </row>
    <row r="24" spans="2:16" x14ac:dyDescent="0.35">
      <c r="B24" s="39" t="s">
        <v>552</v>
      </c>
      <c r="C24" s="101" t="s">
        <v>553</v>
      </c>
      <c r="D24" s="40">
        <v>43552</v>
      </c>
      <c r="E24" s="40">
        <v>43745</v>
      </c>
      <c r="F24" s="40">
        <v>45571</v>
      </c>
      <c r="G24" s="63" t="s">
        <v>5683</v>
      </c>
      <c r="H24" s="38" t="s">
        <v>554</v>
      </c>
      <c r="I24" s="39" t="s">
        <v>2492</v>
      </c>
      <c r="J24" s="38" t="s">
        <v>4480</v>
      </c>
      <c r="K24" s="38" t="s">
        <v>2587</v>
      </c>
      <c r="L24" s="31">
        <v>56000</v>
      </c>
      <c r="M24" s="31">
        <v>56000</v>
      </c>
      <c r="N24" s="31">
        <v>0</v>
      </c>
      <c r="O24" s="30">
        <f t="shared" si="0"/>
        <v>0</v>
      </c>
      <c r="P24" s="26">
        <v>2.06</v>
      </c>
    </row>
    <row r="25" spans="2:16" x14ac:dyDescent="0.35">
      <c r="B25" s="39" t="s">
        <v>2054</v>
      </c>
      <c r="C25" s="101" t="s">
        <v>2055</v>
      </c>
      <c r="D25" s="40">
        <v>43613</v>
      </c>
      <c r="E25" s="40">
        <v>43745</v>
      </c>
      <c r="F25" s="40">
        <v>45571</v>
      </c>
      <c r="G25" s="63" t="s">
        <v>6</v>
      </c>
      <c r="H25" s="38" t="s">
        <v>2056</v>
      </c>
      <c r="I25" s="39" t="s">
        <v>2522</v>
      </c>
      <c r="J25" s="38" t="s">
        <v>2551</v>
      </c>
      <c r="K25" s="38" t="s">
        <v>2587</v>
      </c>
      <c r="L25" s="31">
        <v>15000</v>
      </c>
      <c r="M25" s="31">
        <v>0</v>
      </c>
      <c r="N25" s="31">
        <v>10800</v>
      </c>
      <c r="O25" s="30">
        <f t="shared" si="0"/>
        <v>4200</v>
      </c>
      <c r="P25" s="26">
        <v>3.5</v>
      </c>
    </row>
    <row r="26" spans="2:16" ht="29" x14ac:dyDescent="0.35">
      <c r="B26" s="39" t="s">
        <v>593</v>
      </c>
      <c r="C26" s="101" t="s">
        <v>594</v>
      </c>
      <c r="D26" s="40">
        <v>43661</v>
      </c>
      <c r="E26" s="40">
        <v>43745</v>
      </c>
      <c r="F26" s="40">
        <v>45936</v>
      </c>
      <c r="G26" s="63" t="s">
        <v>5683</v>
      </c>
      <c r="H26" s="38" t="s">
        <v>595</v>
      </c>
      <c r="I26" s="39" t="s">
        <v>2480</v>
      </c>
      <c r="J26" s="38" t="s">
        <v>4476</v>
      </c>
      <c r="K26" s="38" t="s">
        <v>2587</v>
      </c>
      <c r="L26" s="31">
        <v>160000</v>
      </c>
      <c r="M26" s="31">
        <v>102400</v>
      </c>
      <c r="N26" s="31">
        <v>57600</v>
      </c>
      <c r="O26" s="30">
        <f t="shared" si="0"/>
        <v>0</v>
      </c>
      <c r="P26" s="26" t="s">
        <v>6806</v>
      </c>
    </row>
    <row r="27" spans="2:16" x14ac:dyDescent="0.35">
      <c r="B27" s="39" t="s">
        <v>618</v>
      </c>
      <c r="C27" s="101" t="s">
        <v>2831</v>
      </c>
      <c r="D27" s="40">
        <v>43661</v>
      </c>
      <c r="E27" s="40">
        <v>43768</v>
      </c>
      <c r="F27" s="40">
        <v>45594</v>
      </c>
      <c r="G27" s="63" t="s">
        <v>5683</v>
      </c>
      <c r="H27" s="38" t="s">
        <v>2443</v>
      </c>
      <c r="I27" s="39" t="s">
        <v>2509</v>
      </c>
      <c r="J27" s="38" t="s">
        <v>2510</v>
      </c>
      <c r="K27" s="38" t="s">
        <v>2591</v>
      </c>
      <c r="L27" s="31">
        <v>271000</v>
      </c>
      <c r="M27" s="31">
        <v>251200</v>
      </c>
      <c r="N27" s="31">
        <v>19800</v>
      </c>
      <c r="O27" s="30">
        <f t="shared" si="0"/>
        <v>0</v>
      </c>
      <c r="P27" s="26" t="s">
        <v>6075</v>
      </c>
    </row>
    <row r="28" spans="2:16" x14ac:dyDescent="0.35">
      <c r="B28" s="39" t="s">
        <v>636</v>
      </c>
      <c r="C28" s="101" t="s">
        <v>637</v>
      </c>
      <c r="D28" s="40">
        <v>43661</v>
      </c>
      <c r="E28" s="40">
        <v>43769</v>
      </c>
      <c r="F28" s="40">
        <v>45595</v>
      </c>
      <c r="G28" s="63" t="s">
        <v>5683</v>
      </c>
      <c r="H28" s="38" t="s">
        <v>635</v>
      </c>
      <c r="I28" s="39" t="s">
        <v>2498</v>
      </c>
      <c r="J28" s="38" t="s">
        <v>4484</v>
      </c>
      <c r="K28" s="38" t="s">
        <v>2591</v>
      </c>
      <c r="L28" s="31">
        <v>372550</v>
      </c>
      <c r="M28" s="31">
        <v>13893</v>
      </c>
      <c r="N28" s="31">
        <v>358657</v>
      </c>
      <c r="O28" s="30">
        <f t="shared" si="0"/>
        <v>0</v>
      </c>
      <c r="P28" s="26" t="s">
        <v>6076</v>
      </c>
    </row>
    <row r="29" spans="2:16" ht="29" x14ac:dyDescent="0.35">
      <c r="B29" s="39" t="s">
        <v>1875</v>
      </c>
      <c r="C29" s="101" t="s">
        <v>1876</v>
      </c>
      <c r="D29" s="40">
        <v>43371</v>
      </c>
      <c r="E29" s="40">
        <v>43791</v>
      </c>
      <c r="F29" s="40">
        <v>45617</v>
      </c>
      <c r="G29" s="63" t="s">
        <v>6</v>
      </c>
      <c r="H29" s="38" t="s">
        <v>1874</v>
      </c>
      <c r="I29" s="39" t="s">
        <v>2500</v>
      </c>
      <c r="J29" s="38" t="s">
        <v>2580</v>
      </c>
      <c r="K29" s="38" t="s">
        <v>2589</v>
      </c>
      <c r="L29" s="31">
        <v>100000</v>
      </c>
      <c r="M29" s="31">
        <v>0</v>
      </c>
      <c r="N29" s="31">
        <v>0</v>
      </c>
      <c r="O29" s="30">
        <f t="shared" si="0"/>
        <v>100000</v>
      </c>
      <c r="P29" s="27" t="s">
        <v>3088</v>
      </c>
    </row>
    <row r="30" spans="2:16" ht="24" x14ac:dyDescent="0.35">
      <c r="B30" s="39" t="s">
        <v>606</v>
      </c>
      <c r="C30" s="101" t="s">
        <v>607</v>
      </c>
      <c r="D30" s="40">
        <v>43661</v>
      </c>
      <c r="E30" s="40">
        <v>43796</v>
      </c>
      <c r="F30" s="40">
        <v>45987</v>
      </c>
      <c r="G30" s="63" t="s">
        <v>5683</v>
      </c>
      <c r="H30" s="38" t="s">
        <v>608</v>
      </c>
      <c r="I30" s="39" t="s">
        <v>2475</v>
      </c>
      <c r="J30" s="38" t="s">
        <v>4482</v>
      </c>
      <c r="K30" s="38" t="s">
        <v>2587</v>
      </c>
      <c r="L30" s="31">
        <v>577500</v>
      </c>
      <c r="M30" s="31">
        <v>202200</v>
      </c>
      <c r="N30" s="31">
        <v>375300</v>
      </c>
      <c r="O30" s="30">
        <f t="shared" si="0"/>
        <v>0</v>
      </c>
      <c r="P30" s="93" t="s">
        <v>6672</v>
      </c>
    </row>
    <row r="31" spans="2:16" x14ac:dyDescent="0.35">
      <c r="B31" s="39" t="s">
        <v>619</v>
      </c>
      <c r="C31" s="101" t="s">
        <v>620</v>
      </c>
      <c r="D31" s="40">
        <v>43661</v>
      </c>
      <c r="E31" s="40">
        <v>43818</v>
      </c>
      <c r="F31" s="40">
        <v>45869</v>
      </c>
      <c r="G31" s="63" t="s">
        <v>6</v>
      </c>
      <c r="H31" s="38" t="s">
        <v>621</v>
      </c>
      <c r="I31" s="39" t="s">
        <v>2480</v>
      </c>
      <c r="J31" s="38" t="s">
        <v>4483</v>
      </c>
      <c r="K31" s="38" t="s">
        <v>2591</v>
      </c>
      <c r="L31" s="31">
        <v>6000000</v>
      </c>
      <c r="M31" s="31">
        <v>0</v>
      </c>
      <c r="N31" s="31">
        <f>4111957.78+500000+500000+500000+388042.22</f>
        <v>5999999.9999999991</v>
      </c>
      <c r="O31" s="30">
        <f t="shared" si="0"/>
        <v>0</v>
      </c>
      <c r="P31" s="26">
        <v>64.150000000000006</v>
      </c>
    </row>
    <row r="32" spans="2:16" ht="58" x14ac:dyDescent="0.35">
      <c r="B32" s="39" t="s">
        <v>741</v>
      </c>
      <c r="C32" s="101" t="s">
        <v>742</v>
      </c>
      <c r="D32" s="40">
        <v>43770</v>
      </c>
      <c r="E32" s="40">
        <v>43829</v>
      </c>
      <c r="F32" s="40">
        <v>45655</v>
      </c>
      <c r="G32" s="63" t="s">
        <v>5683</v>
      </c>
      <c r="H32" s="38" t="s">
        <v>740</v>
      </c>
      <c r="I32" s="39" t="s">
        <v>2479</v>
      </c>
      <c r="J32" s="38" t="s">
        <v>2549</v>
      </c>
      <c r="K32" s="38" t="s">
        <v>2595</v>
      </c>
      <c r="L32" s="31">
        <v>750000</v>
      </c>
      <c r="M32" s="31">
        <v>58497.75</v>
      </c>
      <c r="N32" s="42">
        <f>485320.65+17422.6+22147.2+22146.4+35701.7+16930.1+41976.25+27455.1+22402.25</f>
        <v>691502.24999999988</v>
      </c>
      <c r="O32" s="30">
        <f t="shared" si="0"/>
        <v>0</v>
      </c>
      <c r="P32" s="27" t="s">
        <v>6346</v>
      </c>
    </row>
    <row r="33" spans="2:16" x14ac:dyDescent="0.35">
      <c r="B33" s="39" t="s">
        <v>1951</v>
      </c>
      <c r="C33" s="101" t="s">
        <v>3567</v>
      </c>
      <c r="D33" s="40">
        <v>43404</v>
      </c>
      <c r="E33" s="40">
        <v>43853</v>
      </c>
      <c r="F33" s="40">
        <v>45679</v>
      </c>
      <c r="G33" s="63" t="s">
        <v>5683</v>
      </c>
      <c r="H33" s="38" t="s">
        <v>1965</v>
      </c>
      <c r="I33" s="39" t="s">
        <v>2494</v>
      </c>
      <c r="J33" s="38" t="s">
        <v>2549</v>
      </c>
      <c r="K33" s="38" t="s">
        <v>3092</v>
      </c>
      <c r="L33" s="31">
        <v>50000</v>
      </c>
      <c r="M33" s="31">
        <v>50000</v>
      </c>
      <c r="N33" s="31">
        <v>0</v>
      </c>
      <c r="O33" s="30">
        <f t="shared" si="0"/>
        <v>0</v>
      </c>
      <c r="P33" s="27" t="s">
        <v>2874</v>
      </c>
    </row>
    <row r="34" spans="2:16" ht="29" x14ac:dyDescent="0.35">
      <c r="B34" s="35" t="s">
        <v>1951</v>
      </c>
      <c r="C34" s="80" t="s">
        <v>2920</v>
      </c>
      <c r="D34" s="40">
        <v>43404</v>
      </c>
      <c r="E34" s="36">
        <v>43857</v>
      </c>
      <c r="F34" s="36">
        <v>45683</v>
      </c>
      <c r="G34" s="64" t="s">
        <v>5683</v>
      </c>
      <c r="H34" s="43" t="s">
        <v>2921</v>
      </c>
      <c r="I34" s="35" t="s">
        <v>2476</v>
      </c>
      <c r="J34" s="43" t="s">
        <v>4472</v>
      </c>
      <c r="K34" s="43" t="s">
        <v>2655</v>
      </c>
      <c r="L34" s="30">
        <v>55440</v>
      </c>
      <c r="M34" s="30">
        <v>1813.34</v>
      </c>
      <c r="N34" s="30">
        <v>53626.66</v>
      </c>
      <c r="O34" s="30">
        <f t="shared" si="0"/>
        <v>0</v>
      </c>
      <c r="P34" s="44" t="s">
        <v>6804</v>
      </c>
    </row>
    <row r="35" spans="2:16" x14ac:dyDescent="0.35">
      <c r="B35" s="39" t="s">
        <v>1951</v>
      </c>
      <c r="C35" s="101" t="s">
        <v>1997</v>
      </c>
      <c r="D35" s="40">
        <v>43404</v>
      </c>
      <c r="E35" s="40">
        <v>43859</v>
      </c>
      <c r="F35" s="40">
        <v>45685</v>
      </c>
      <c r="G35" s="63" t="s">
        <v>6</v>
      </c>
      <c r="H35" s="38" t="s">
        <v>1998</v>
      </c>
      <c r="I35" s="39" t="s">
        <v>2485</v>
      </c>
      <c r="J35" s="38" t="s">
        <v>2549</v>
      </c>
      <c r="K35" s="38" t="s">
        <v>3092</v>
      </c>
      <c r="L35" s="31">
        <v>201750</v>
      </c>
      <c r="M35" s="31">
        <v>0</v>
      </c>
      <c r="N35" s="31">
        <f>123750+78000</f>
        <v>201750</v>
      </c>
      <c r="O35" s="30">
        <f t="shared" si="0"/>
        <v>0</v>
      </c>
      <c r="P35" s="27" t="s">
        <v>2874</v>
      </c>
    </row>
    <row r="36" spans="2:16" x14ac:dyDescent="0.35">
      <c r="B36" s="39" t="s">
        <v>1951</v>
      </c>
      <c r="C36" s="101" t="s">
        <v>2865</v>
      </c>
      <c r="D36" s="40">
        <v>43404</v>
      </c>
      <c r="E36" s="40">
        <v>43859</v>
      </c>
      <c r="F36" s="40">
        <v>45685</v>
      </c>
      <c r="G36" s="63" t="s">
        <v>6</v>
      </c>
      <c r="H36" s="38" t="s">
        <v>2018</v>
      </c>
      <c r="I36" s="39" t="s">
        <v>2492</v>
      </c>
      <c r="J36" s="38" t="s">
        <v>2549</v>
      </c>
      <c r="K36" s="38" t="s">
        <v>3092</v>
      </c>
      <c r="L36" s="31">
        <v>300000</v>
      </c>
      <c r="M36" s="31">
        <v>0</v>
      </c>
      <c r="N36" s="31">
        <v>225000</v>
      </c>
      <c r="O36" s="30">
        <f t="shared" si="0"/>
        <v>75000</v>
      </c>
      <c r="P36" s="27" t="s">
        <v>2874</v>
      </c>
    </row>
    <row r="37" spans="2:16" x14ac:dyDescent="0.35">
      <c r="B37" s="39" t="s">
        <v>1951</v>
      </c>
      <c r="C37" s="101" t="s">
        <v>1952</v>
      </c>
      <c r="D37" s="40">
        <v>43404</v>
      </c>
      <c r="E37" s="40">
        <v>43859</v>
      </c>
      <c r="F37" s="40">
        <v>45685</v>
      </c>
      <c r="G37" s="63" t="s">
        <v>6</v>
      </c>
      <c r="H37" s="38" t="s">
        <v>1953</v>
      </c>
      <c r="I37" s="39" t="s">
        <v>2504</v>
      </c>
      <c r="J37" s="38" t="s">
        <v>2549</v>
      </c>
      <c r="K37" s="38" t="s">
        <v>3092</v>
      </c>
      <c r="L37" s="31">
        <v>17480.189999999999</v>
      </c>
      <c r="M37" s="31">
        <v>0</v>
      </c>
      <c r="N37" s="31">
        <v>7502.02</v>
      </c>
      <c r="O37" s="30">
        <f t="shared" si="0"/>
        <v>9978.1699999999983</v>
      </c>
      <c r="P37" s="27" t="s">
        <v>2874</v>
      </c>
    </row>
    <row r="38" spans="2:16" x14ac:dyDescent="0.35">
      <c r="B38" s="39" t="s">
        <v>2217</v>
      </c>
      <c r="C38" s="101" t="s">
        <v>2218</v>
      </c>
      <c r="D38" s="40">
        <v>43724</v>
      </c>
      <c r="E38" s="40">
        <v>43861</v>
      </c>
      <c r="F38" s="40">
        <v>44956</v>
      </c>
      <c r="G38" s="63" t="s">
        <v>5683</v>
      </c>
      <c r="H38" s="38" t="s">
        <v>2219</v>
      </c>
      <c r="I38" s="39" t="s">
        <v>2488</v>
      </c>
      <c r="J38" s="38" t="s">
        <v>2489</v>
      </c>
      <c r="K38" s="38" t="s">
        <v>2587</v>
      </c>
      <c r="L38" s="31">
        <v>16000</v>
      </c>
      <c r="M38" s="31">
        <v>4800</v>
      </c>
      <c r="N38" s="31">
        <v>11200</v>
      </c>
      <c r="O38" s="30">
        <f t="shared" si="0"/>
        <v>0</v>
      </c>
      <c r="P38" s="26">
        <v>0.41</v>
      </c>
    </row>
    <row r="39" spans="2:16" x14ac:dyDescent="0.35">
      <c r="B39" s="39" t="s">
        <v>2241</v>
      </c>
      <c r="C39" s="101" t="s">
        <v>2731</v>
      </c>
      <c r="D39" s="40">
        <v>43724</v>
      </c>
      <c r="E39" s="40">
        <v>43861</v>
      </c>
      <c r="F39" s="40">
        <v>45687</v>
      </c>
      <c r="G39" s="63" t="s">
        <v>6</v>
      </c>
      <c r="H39" s="38" t="s">
        <v>2219</v>
      </c>
      <c r="I39" s="39" t="s">
        <v>2488</v>
      </c>
      <c r="J39" s="38" t="s">
        <v>2489</v>
      </c>
      <c r="K39" s="38" t="s">
        <v>2591</v>
      </c>
      <c r="L39" s="31">
        <v>50000</v>
      </c>
      <c r="M39" s="31">
        <v>0</v>
      </c>
      <c r="N39" s="42">
        <v>28985.25</v>
      </c>
      <c r="O39" s="30">
        <f t="shared" si="0"/>
        <v>21014.75</v>
      </c>
      <c r="P39" s="26">
        <v>0.41</v>
      </c>
    </row>
    <row r="40" spans="2:16" x14ac:dyDescent="0.35">
      <c r="B40" s="39" t="s">
        <v>1951</v>
      </c>
      <c r="C40" s="101" t="s">
        <v>1991</v>
      </c>
      <c r="D40" s="40">
        <v>43404</v>
      </c>
      <c r="E40" s="40">
        <v>43868</v>
      </c>
      <c r="F40" s="40">
        <v>45694</v>
      </c>
      <c r="G40" s="63" t="s">
        <v>6</v>
      </c>
      <c r="H40" s="38" t="s">
        <v>1992</v>
      </c>
      <c r="I40" s="39" t="s">
        <v>2481</v>
      </c>
      <c r="J40" s="38" t="s">
        <v>2549</v>
      </c>
      <c r="K40" s="38" t="s">
        <v>3092</v>
      </c>
      <c r="L40" s="31">
        <v>167774.25</v>
      </c>
      <c r="M40" s="31">
        <v>0</v>
      </c>
      <c r="N40" s="31">
        <v>69787.5</v>
      </c>
      <c r="O40" s="30">
        <f t="shared" si="0"/>
        <v>97986.75</v>
      </c>
      <c r="P40" s="27" t="s">
        <v>2874</v>
      </c>
    </row>
    <row r="41" spans="2:16" x14ac:dyDescent="0.35">
      <c r="B41" s="39" t="s">
        <v>629</v>
      </c>
      <c r="C41" s="101" t="s">
        <v>630</v>
      </c>
      <c r="D41" s="40">
        <v>43661</v>
      </c>
      <c r="E41" s="40">
        <v>43872</v>
      </c>
      <c r="F41" s="40">
        <v>45698</v>
      </c>
      <c r="G41" s="63" t="s">
        <v>6</v>
      </c>
      <c r="H41" s="38" t="s">
        <v>624</v>
      </c>
      <c r="I41" s="39" t="s">
        <v>2519</v>
      </c>
      <c r="J41" s="38" t="s">
        <v>4485</v>
      </c>
      <c r="K41" s="38" t="s">
        <v>2591</v>
      </c>
      <c r="L41" s="31">
        <v>1135553.92</v>
      </c>
      <c r="M41" s="31">
        <v>0</v>
      </c>
      <c r="N41" s="31">
        <f>510999.26+394968.74+11160+47545.96+47038.56</f>
        <v>1011712.52</v>
      </c>
      <c r="O41" s="30">
        <f t="shared" si="0"/>
        <v>123841.39999999991</v>
      </c>
      <c r="P41" s="26">
        <v>0.53</v>
      </c>
    </row>
    <row r="42" spans="2:16" x14ac:dyDescent="0.35">
      <c r="B42" s="39" t="s">
        <v>631</v>
      </c>
      <c r="C42" s="101" t="s">
        <v>632</v>
      </c>
      <c r="D42" s="40">
        <v>43661</v>
      </c>
      <c r="E42" s="40">
        <v>43872</v>
      </c>
      <c r="F42" s="40">
        <v>45698</v>
      </c>
      <c r="G42" s="63" t="s">
        <v>6</v>
      </c>
      <c r="H42" s="38" t="s">
        <v>624</v>
      </c>
      <c r="I42" s="39" t="s">
        <v>2519</v>
      </c>
      <c r="J42" s="38" t="s">
        <v>4485</v>
      </c>
      <c r="K42" s="38" t="s">
        <v>2589</v>
      </c>
      <c r="L42" s="31">
        <v>1440000</v>
      </c>
      <c r="M42" s="31">
        <v>0</v>
      </c>
      <c r="N42" s="31">
        <v>0</v>
      </c>
      <c r="O42" s="30">
        <f t="shared" si="0"/>
        <v>1440000</v>
      </c>
      <c r="P42" s="26">
        <v>0.53</v>
      </c>
    </row>
    <row r="43" spans="2:16" x14ac:dyDescent="0.35">
      <c r="B43" s="39" t="s">
        <v>704</v>
      </c>
      <c r="C43" s="101" t="s">
        <v>705</v>
      </c>
      <c r="D43" s="40">
        <v>43782</v>
      </c>
      <c r="E43" s="40">
        <v>43872</v>
      </c>
      <c r="F43" s="40">
        <v>45698</v>
      </c>
      <c r="G43" s="63" t="s">
        <v>6</v>
      </c>
      <c r="H43" s="38" t="s">
        <v>706</v>
      </c>
      <c r="I43" s="39" t="s">
        <v>2476</v>
      </c>
      <c r="J43" s="38" t="s">
        <v>2549</v>
      </c>
      <c r="K43" s="38" t="s">
        <v>2589</v>
      </c>
      <c r="L43" s="31">
        <v>325000</v>
      </c>
      <c r="M43" s="31">
        <v>0</v>
      </c>
      <c r="N43" s="31">
        <v>283434.3</v>
      </c>
      <c r="O43" s="30">
        <f t="shared" si="0"/>
        <v>41565.700000000012</v>
      </c>
      <c r="P43" s="26">
        <v>2.39</v>
      </c>
    </row>
    <row r="44" spans="2:16" x14ac:dyDescent="0.35">
      <c r="B44" s="39" t="s">
        <v>707</v>
      </c>
      <c r="C44" s="101" t="s">
        <v>708</v>
      </c>
      <c r="D44" s="40">
        <v>43782</v>
      </c>
      <c r="E44" s="40">
        <v>43872</v>
      </c>
      <c r="F44" s="40">
        <v>45698</v>
      </c>
      <c r="G44" s="63" t="s">
        <v>6</v>
      </c>
      <c r="H44" s="38" t="s">
        <v>706</v>
      </c>
      <c r="I44" s="39" t="s">
        <v>2476</v>
      </c>
      <c r="J44" s="38" t="s">
        <v>2549</v>
      </c>
      <c r="K44" s="38" t="s">
        <v>2591</v>
      </c>
      <c r="L44" s="31">
        <v>75000</v>
      </c>
      <c r="M44" s="31">
        <v>0</v>
      </c>
      <c r="N44" s="31">
        <v>67500</v>
      </c>
      <c r="O44" s="30">
        <f t="shared" si="0"/>
        <v>7500</v>
      </c>
      <c r="P44" s="26">
        <v>2.39</v>
      </c>
    </row>
    <row r="45" spans="2:16" x14ac:dyDescent="0.35">
      <c r="B45" s="39" t="s">
        <v>709</v>
      </c>
      <c r="C45" s="101" t="s">
        <v>710</v>
      </c>
      <c r="D45" s="40">
        <v>43782</v>
      </c>
      <c r="E45" s="40">
        <v>43872</v>
      </c>
      <c r="F45" s="40">
        <v>45698</v>
      </c>
      <c r="G45" s="63" t="s">
        <v>6</v>
      </c>
      <c r="H45" s="38" t="s">
        <v>706</v>
      </c>
      <c r="I45" s="39" t="s">
        <v>2476</v>
      </c>
      <c r="J45" s="38" t="s">
        <v>2549</v>
      </c>
      <c r="K45" s="38" t="s">
        <v>2587</v>
      </c>
      <c r="L45" s="31">
        <v>62400</v>
      </c>
      <c r="M45" s="31">
        <v>0</v>
      </c>
      <c r="N45" s="31">
        <v>0</v>
      </c>
      <c r="O45" s="30">
        <f t="shared" si="0"/>
        <v>62400</v>
      </c>
      <c r="P45" s="26">
        <v>2.39</v>
      </c>
    </row>
    <row r="46" spans="2:16" x14ac:dyDescent="0.35">
      <c r="B46" s="39" t="s">
        <v>2259</v>
      </c>
      <c r="C46" s="101" t="s">
        <v>2260</v>
      </c>
      <c r="D46" s="40">
        <v>43782</v>
      </c>
      <c r="E46" s="40">
        <v>43882</v>
      </c>
      <c r="F46" s="40">
        <v>45708</v>
      </c>
      <c r="G46" s="63" t="s">
        <v>5683</v>
      </c>
      <c r="H46" s="38" t="s">
        <v>2261</v>
      </c>
      <c r="I46" s="39" t="s">
        <v>2492</v>
      </c>
      <c r="J46" s="38" t="s">
        <v>4487</v>
      </c>
      <c r="K46" s="38" t="s">
        <v>2587</v>
      </c>
      <c r="L46" s="31">
        <v>110000</v>
      </c>
      <c r="M46" s="31">
        <v>110000</v>
      </c>
      <c r="N46" s="31">
        <v>0</v>
      </c>
      <c r="O46" s="30">
        <f t="shared" si="0"/>
        <v>0</v>
      </c>
      <c r="P46" s="26">
        <v>0.24</v>
      </c>
    </row>
    <row r="47" spans="2:16" x14ac:dyDescent="0.35">
      <c r="B47" s="39" t="s">
        <v>679</v>
      </c>
      <c r="C47" s="101" t="s">
        <v>680</v>
      </c>
      <c r="D47" s="40">
        <v>43735</v>
      </c>
      <c r="E47" s="40">
        <v>43885</v>
      </c>
      <c r="F47" s="40">
        <v>45711</v>
      </c>
      <c r="G47" s="63" t="s">
        <v>6</v>
      </c>
      <c r="H47" s="38" t="s">
        <v>678</v>
      </c>
      <c r="I47" s="39" t="s">
        <v>2480</v>
      </c>
      <c r="J47" s="38" t="s">
        <v>2547</v>
      </c>
      <c r="K47" s="38" t="s">
        <v>2587</v>
      </c>
      <c r="L47" s="31">
        <v>1110000</v>
      </c>
      <c r="M47" s="31">
        <v>0</v>
      </c>
      <c r="N47" s="31">
        <f>666000+222000</f>
        <v>888000</v>
      </c>
      <c r="O47" s="30">
        <f t="shared" si="0"/>
        <v>222000</v>
      </c>
      <c r="P47" s="29">
        <v>36.26</v>
      </c>
    </row>
    <row r="48" spans="2:16" x14ac:dyDescent="0.35">
      <c r="B48" s="39" t="s">
        <v>1951</v>
      </c>
      <c r="C48" s="101" t="s">
        <v>1999</v>
      </c>
      <c r="D48" s="40">
        <v>43404</v>
      </c>
      <c r="E48" s="40">
        <v>43899</v>
      </c>
      <c r="F48" s="40">
        <v>45908</v>
      </c>
      <c r="G48" s="63" t="s">
        <v>6</v>
      </c>
      <c r="H48" s="38" t="s">
        <v>2000</v>
      </c>
      <c r="I48" s="39" t="s">
        <v>2480</v>
      </c>
      <c r="J48" s="38" t="s">
        <v>2549</v>
      </c>
      <c r="K48" s="38" t="s">
        <v>3092</v>
      </c>
      <c r="L48" s="31">
        <v>208867</v>
      </c>
      <c r="M48" s="31">
        <v>0</v>
      </c>
      <c r="N48" s="31">
        <v>142542</v>
      </c>
      <c r="O48" s="30">
        <f t="shared" si="0"/>
        <v>66325</v>
      </c>
      <c r="P48" s="27" t="s">
        <v>2874</v>
      </c>
    </row>
    <row r="49" spans="2:16" ht="43.5" x14ac:dyDescent="0.35">
      <c r="B49" s="39" t="s">
        <v>2323</v>
      </c>
      <c r="C49" s="101" t="s">
        <v>2324</v>
      </c>
      <c r="D49" s="40">
        <v>43920</v>
      </c>
      <c r="E49" s="40">
        <v>43920</v>
      </c>
      <c r="F49" s="40">
        <v>47299</v>
      </c>
      <c r="G49" s="63" t="s">
        <v>4057</v>
      </c>
      <c r="H49" s="38" t="s">
        <v>382</v>
      </c>
      <c r="I49" s="39" t="s">
        <v>2480</v>
      </c>
      <c r="J49" s="38" t="s">
        <v>4491</v>
      </c>
      <c r="K49" s="38" t="s">
        <v>2574</v>
      </c>
      <c r="L49" s="31">
        <v>50000000</v>
      </c>
      <c r="M49" s="31">
        <v>2500000</v>
      </c>
      <c r="N49" s="31">
        <f>21000000+1500000+3500000+1500000</f>
        <v>27500000</v>
      </c>
      <c r="O49" s="30">
        <f t="shared" si="0"/>
        <v>20000000</v>
      </c>
      <c r="P49" s="26" t="s">
        <v>2978</v>
      </c>
    </row>
    <row r="50" spans="2:16" ht="29" x14ac:dyDescent="0.35">
      <c r="B50" s="39" t="s">
        <v>571</v>
      </c>
      <c r="C50" s="101" t="s">
        <v>2729</v>
      </c>
      <c r="D50" s="40">
        <v>43636</v>
      </c>
      <c r="E50" s="40">
        <v>43935</v>
      </c>
      <c r="F50" s="40">
        <v>45760</v>
      </c>
      <c r="G50" s="63" t="s">
        <v>6</v>
      </c>
      <c r="H50" s="38" t="s">
        <v>572</v>
      </c>
      <c r="I50" s="39" t="s">
        <v>2480</v>
      </c>
      <c r="J50" s="38" t="s">
        <v>4481</v>
      </c>
      <c r="K50" s="38" t="s">
        <v>2591</v>
      </c>
      <c r="L50" s="31">
        <v>8760000</v>
      </c>
      <c r="M50" s="31">
        <v>0</v>
      </c>
      <c r="N50" s="31">
        <v>2687741</v>
      </c>
      <c r="O50" s="30">
        <f t="shared" si="0"/>
        <v>6072259</v>
      </c>
      <c r="P50" s="26">
        <v>3.16</v>
      </c>
    </row>
    <row r="51" spans="2:16" ht="29" x14ac:dyDescent="0.35">
      <c r="B51" s="39" t="s">
        <v>573</v>
      </c>
      <c r="C51" s="101" t="s">
        <v>2730</v>
      </c>
      <c r="D51" s="40">
        <v>43636</v>
      </c>
      <c r="E51" s="40">
        <v>43935</v>
      </c>
      <c r="F51" s="40">
        <v>45760</v>
      </c>
      <c r="G51" s="63" t="s">
        <v>6</v>
      </c>
      <c r="H51" s="38" t="s">
        <v>572</v>
      </c>
      <c r="I51" s="39" t="s">
        <v>2480</v>
      </c>
      <c r="J51" s="38" t="s">
        <v>4481</v>
      </c>
      <c r="K51" s="38" t="s">
        <v>2587</v>
      </c>
      <c r="L51" s="31">
        <v>963000</v>
      </c>
      <c r="M51" s="31">
        <v>0</v>
      </c>
      <c r="N51" s="31">
        <v>275400</v>
      </c>
      <c r="O51" s="30">
        <f t="shared" si="0"/>
        <v>687600</v>
      </c>
      <c r="P51" s="26">
        <v>3.16</v>
      </c>
    </row>
    <row r="52" spans="2:16" ht="29" x14ac:dyDescent="0.35">
      <c r="B52" s="39" t="s">
        <v>2226</v>
      </c>
      <c r="C52" s="101" t="s">
        <v>2227</v>
      </c>
      <c r="D52" s="40">
        <v>43741</v>
      </c>
      <c r="E52" s="40">
        <v>43984</v>
      </c>
      <c r="F52" s="40">
        <v>45809</v>
      </c>
      <c r="G52" s="63" t="s">
        <v>6</v>
      </c>
      <c r="H52" s="38" t="s">
        <v>2225</v>
      </c>
      <c r="I52" s="39" t="s">
        <v>2490</v>
      </c>
      <c r="J52" s="38" t="s">
        <v>2576</v>
      </c>
      <c r="K52" s="38" t="s">
        <v>2587</v>
      </c>
      <c r="L52" s="31">
        <v>18000</v>
      </c>
      <c r="M52" s="31">
        <v>0</v>
      </c>
      <c r="N52" s="31">
        <v>0</v>
      </c>
      <c r="O52" s="30">
        <f t="shared" si="0"/>
        <v>18000</v>
      </c>
      <c r="P52" s="26">
        <v>3.96</v>
      </c>
    </row>
    <row r="53" spans="2:16" ht="29" x14ac:dyDescent="0.35">
      <c r="B53" s="35" t="s">
        <v>1951</v>
      </c>
      <c r="C53" s="80" t="s">
        <v>3026</v>
      </c>
      <c r="D53" s="36">
        <v>43404</v>
      </c>
      <c r="E53" s="46">
        <v>43993</v>
      </c>
      <c r="F53" s="46">
        <v>45828</v>
      </c>
      <c r="G53" s="64" t="s">
        <v>6</v>
      </c>
      <c r="H53" s="43" t="s">
        <v>3027</v>
      </c>
      <c r="I53" s="35" t="s">
        <v>3028</v>
      </c>
      <c r="J53" s="38" t="s">
        <v>3029</v>
      </c>
      <c r="K53" s="38" t="s">
        <v>3092</v>
      </c>
      <c r="L53" s="49">
        <v>103528</v>
      </c>
      <c r="M53" s="49">
        <v>0</v>
      </c>
      <c r="N53" s="49">
        <v>765</v>
      </c>
      <c r="O53" s="30">
        <f t="shared" si="0"/>
        <v>102763</v>
      </c>
      <c r="P53" s="44" t="s">
        <v>2874</v>
      </c>
    </row>
    <row r="54" spans="2:16" x14ac:dyDescent="0.35">
      <c r="B54" s="39" t="s">
        <v>1951</v>
      </c>
      <c r="C54" s="101" t="s">
        <v>1974</v>
      </c>
      <c r="D54" s="40">
        <v>43404</v>
      </c>
      <c r="E54" s="40">
        <v>44010</v>
      </c>
      <c r="F54" s="40">
        <v>45835</v>
      </c>
      <c r="G54" s="63" t="s">
        <v>6</v>
      </c>
      <c r="H54" s="38" t="s">
        <v>1975</v>
      </c>
      <c r="I54" s="39" t="s">
        <v>2480</v>
      </c>
      <c r="J54" s="38" t="s">
        <v>2549</v>
      </c>
      <c r="K54" s="38" t="s">
        <v>3092</v>
      </c>
      <c r="L54" s="31">
        <v>87240</v>
      </c>
      <c r="M54" s="31">
        <v>0</v>
      </c>
      <c r="N54" s="31">
        <v>74201.25</v>
      </c>
      <c r="O54" s="30">
        <f t="shared" si="0"/>
        <v>13038.75</v>
      </c>
      <c r="P54" s="27" t="s">
        <v>2874</v>
      </c>
    </row>
    <row r="55" spans="2:16" ht="29" x14ac:dyDescent="0.35">
      <c r="B55" s="39" t="s">
        <v>2249</v>
      </c>
      <c r="C55" s="101" t="s">
        <v>2250</v>
      </c>
      <c r="D55" s="40">
        <v>43775</v>
      </c>
      <c r="E55" s="40">
        <v>44010</v>
      </c>
      <c r="F55" s="40">
        <v>45835</v>
      </c>
      <c r="G55" s="63" t="s">
        <v>6</v>
      </c>
      <c r="H55" s="38" t="s">
        <v>2248</v>
      </c>
      <c r="I55" s="39" t="s">
        <v>2490</v>
      </c>
      <c r="J55" s="38" t="s">
        <v>4488</v>
      </c>
      <c r="K55" s="38" t="s">
        <v>2587</v>
      </c>
      <c r="L55" s="31">
        <v>12500</v>
      </c>
      <c r="M55" s="31">
        <v>0</v>
      </c>
      <c r="N55" s="31">
        <v>5500</v>
      </c>
      <c r="O55" s="30">
        <f t="shared" si="0"/>
        <v>7000</v>
      </c>
      <c r="P55" s="26">
        <v>6.27</v>
      </c>
    </row>
    <row r="56" spans="2:16" x14ac:dyDescent="0.35">
      <c r="B56" s="39" t="s">
        <v>2318</v>
      </c>
      <c r="C56" s="101" t="s">
        <v>2319</v>
      </c>
      <c r="D56" s="40">
        <v>43851</v>
      </c>
      <c r="E56" s="40">
        <v>44010</v>
      </c>
      <c r="F56" s="40">
        <v>45104</v>
      </c>
      <c r="G56" s="63" t="s">
        <v>6</v>
      </c>
      <c r="H56" s="38" t="s">
        <v>1279</v>
      </c>
      <c r="I56" s="39" t="s">
        <v>2498</v>
      </c>
      <c r="J56" s="38" t="s">
        <v>2549</v>
      </c>
      <c r="K56" s="38" t="s">
        <v>2587</v>
      </c>
      <c r="L56" s="31">
        <v>24000</v>
      </c>
      <c r="M56" s="31">
        <v>0</v>
      </c>
      <c r="N56" s="31">
        <v>22400</v>
      </c>
      <c r="O56" s="30">
        <f t="shared" si="0"/>
        <v>1600</v>
      </c>
      <c r="P56" s="26">
        <v>86.07</v>
      </c>
    </row>
    <row r="57" spans="2:16" x14ac:dyDescent="0.35">
      <c r="B57" s="39" t="s">
        <v>1951</v>
      </c>
      <c r="C57" s="101" t="s">
        <v>1987</v>
      </c>
      <c r="D57" s="40">
        <v>43404</v>
      </c>
      <c r="E57" s="40">
        <v>44022</v>
      </c>
      <c r="F57" s="40">
        <v>45847</v>
      </c>
      <c r="G57" s="63" t="s">
        <v>6</v>
      </c>
      <c r="H57" s="38" t="s">
        <v>1988</v>
      </c>
      <c r="I57" s="39" t="s">
        <v>2480</v>
      </c>
      <c r="J57" s="38" t="s">
        <v>2549</v>
      </c>
      <c r="K57" s="38" t="s">
        <v>3092</v>
      </c>
      <c r="L57" s="31">
        <v>143100</v>
      </c>
      <c r="M57" s="31">
        <v>0</v>
      </c>
      <c r="N57" s="31">
        <v>0</v>
      </c>
      <c r="O57" s="30">
        <f t="shared" si="0"/>
        <v>143100</v>
      </c>
      <c r="P57" s="27" t="s">
        <v>2874</v>
      </c>
    </row>
    <row r="58" spans="2:16" x14ac:dyDescent="0.35">
      <c r="B58" s="39" t="s">
        <v>1951</v>
      </c>
      <c r="C58" s="101" t="s">
        <v>2015</v>
      </c>
      <c r="D58" s="40">
        <v>43404</v>
      </c>
      <c r="E58" s="40">
        <v>44022</v>
      </c>
      <c r="F58" s="40">
        <v>45847</v>
      </c>
      <c r="G58" s="63" t="s">
        <v>6</v>
      </c>
      <c r="H58" s="38" t="s">
        <v>2016</v>
      </c>
      <c r="I58" s="39" t="s">
        <v>2480</v>
      </c>
      <c r="J58" s="38" t="s">
        <v>2549</v>
      </c>
      <c r="K58" s="38" t="s">
        <v>3092</v>
      </c>
      <c r="L58" s="31">
        <v>260456</v>
      </c>
      <c r="M58" s="31">
        <v>0</v>
      </c>
      <c r="N58" s="31">
        <f>87997</f>
        <v>87997</v>
      </c>
      <c r="O58" s="30">
        <f t="shared" si="0"/>
        <v>172459</v>
      </c>
      <c r="P58" s="27" t="s">
        <v>2874</v>
      </c>
    </row>
    <row r="59" spans="2:16" x14ac:dyDescent="0.35">
      <c r="B59" s="39" t="s">
        <v>712</v>
      </c>
      <c r="C59" s="101" t="s">
        <v>6078</v>
      </c>
      <c r="D59" s="40">
        <v>43777</v>
      </c>
      <c r="E59" s="40">
        <v>44026</v>
      </c>
      <c r="F59" s="40">
        <v>46216</v>
      </c>
      <c r="G59" s="63" t="s">
        <v>5683</v>
      </c>
      <c r="H59" s="38" t="s">
        <v>174</v>
      </c>
      <c r="I59" s="39" t="s">
        <v>2477</v>
      </c>
      <c r="J59" s="38" t="s">
        <v>5237</v>
      </c>
      <c r="K59" s="38" t="s">
        <v>2591</v>
      </c>
      <c r="L59" s="31">
        <v>7000000</v>
      </c>
      <c r="M59" s="31">
        <v>2705575.85</v>
      </c>
      <c r="N59" s="31">
        <v>4294424.1500000004</v>
      </c>
      <c r="O59" s="30">
        <f t="shared" si="0"/>
        <v>0</v>
      </c>
      <c r="P59" s="26" t="s">
        <v>6079</v>
      </c>
    </row>
    <row r="60" spans="2:16" x14ac:dyDescent="0.35">
      <c r="B60" s="39" t="s">
        <v>714</v>
      </c>
      <c r="C60" s="101" t="s">
        <v>715</v>
      </c>
      <c r="D60" s="40">
        <v>43777</v>
      </c>
      <c r="E60" s="40">
        <v>44026</v>
      </c>
      <c r="F60" s="40">
        <v>46216</v>
      </c>
      <c r="G60" s="63" t="s">
        <v>5683</v>
      </c>
      <c r="H60" s="38" t="s">
        <v>174</v>
      </c>
      <c r="I60" s="39" t="s">
        <v>2477</v>
      </c>
      <c r="J60" s="38" t="s">
        <v>5237</v>
      </c>
      <c r="K60" s="38" t="s">
        <v>2587</v>
      </c>
      <c r="L60" s="31">
        <v>15000</v>
      </c>
      <c r="M60" s="31">
        <v>15000</v>
      </c>
      <c r="N60" s="31">
        <v>0</v>
      </c>
      <c r="O60" s="30">
        <f t="shared" si="0"/>
        <v>0</v>
      </c>
      <c r="P60" s="26" t="s">
        <v>6077</v>
      </c>
    </row>
    <row r="61" spans="2:16" x14ac:dyDescent="0.35">
      <c r="B61" s="39" t="s">
        <v>2320</v>
      </c>
      <c r="C61" s="101" t="s">
        <v>2321</v>
      </c>
      <c r="D61" s="40">
        <v>43851</v>
      </c>
      <c r="E61" s="40">
        <v>44027</v>
      </c>
      <c r="F61" s="40">
        <v>45852</v>
      </c>
      <c r="G61" s="63" t="s">
        <v>6</v>
      </c>
      <c r="H61" s="38" t="s">
        <v>1279</v>
      </c>
      <c r="I61" s="39" t="s">
        <v>2498</v>
      </c>
      <c r="J61" s="38" t="s">
        <v>2549</v>
      </c>
      <c r="K61" s="38" t="s">
        <v>2591</v>
      </c>
      <c r="L61" s="31">
        <v>153005</v>
      </c>
      <c r="M61" s="31">
        <v>0</v>
      </c>
      <c r="N61" s="47">
        <v>149618.98000000001</v>
      </c>
      <c r="O61" s="30">
        <f t="shared" si="0"/>
        <v>3386.0199999999895</v>
      </c>
      <c r="P61" s="26">
        <v>86.07</v>
      </c>
    </row>
    <row r="62" spans="2:16" x14ac:dyDescent="0.35">
      <c r="B62" s="39" t="s">
        <v>1951</v>
      </c>
      <c r="C62" s="101" t="s">
        <v>2011</v>
      </c>
      <c r="D62" s="40">
        <v>43404</v>
      </c>
      <c r="E62" s="40">
        <v>44029</v>
      </c>
      <c r="F62" s="40">
        <v>45854</v>
      </c>
      <c r="G62" s="63" t="s">
        <v>6</v>
      </c>
      <c r="H62" s="38" t="s">
        <v>2012</v>
      </c>
      <c r="I62" s="39" t="s">
        <v>2480</v>
      </c>
      <c r="J62" s="38" t="s">
        <v>2549</v>
      </c>
      <c r="K62" s="38" t="s">
        <v>3092</v>
      </c>
      <c r="L62" s="31">
        <v>254814</v>
      </c>
      <c r="M62" s="31">
        <v>0</v>
      </c>
      <c r="N62" s="31">
        <v>235638</v>
      </c>
      <c r="O62" s="30">
        <f t="shared" si="0"/>
        <v>19176</v>
      </c>
      <c r="P62" s="27" t="s">
        <v>2874</v>
      </c>
    </row>
    <row r="63" spans="2:16" x14ac:dyDescent="0.35">
      <c r="B63" s="39" t="s">
        <v>2341</v>
      </c>
      <c r="C63" s="101" t="s">
        <v>6684</v>
      </c>
      <c r="D63" s="40">
        <v>44026</v>
      </c>
      <c r="E63" s="40">
        <v>44035</v>
      </c>
      <c r="F63" s="40">
        <v>45860</v>
      </c>
      <c r="G63" s="63" t="s">
        <v>6</v>
      </c>
      <c r="H63" s="38" t="s">
        <v>290</v>
      </c>
      <c r="I63" s="39" t="s">
        <v>2474</v>
      </c>
      <c r="J63" s="38" t="s">
        <v>4468</v>
      </c>
      <c r="K63" s="38" t="s">
        <v>2583</v>
      </c>
      <c r="L63" s="31">
        <v>280000</v>
      </c>
      <c r="M63" s="31">
        <v>0</v>
      </c>
      <c r="N63" s="31">
        <f>168000+84000</f>
        <v>252000</v>
      </c>
      <c r="O63" s="30">
        <f t="shared" si="0"/>
        <v>28000</v>
      </c>
      <c r="P63" s="26">
        <v>0.59</v>
      </c>
    </row>
    <row r="64" spans="2:16" ht="29" x14ac:dyDescent="0.35">
      <c r="B64" s="39" t="s">
        <v>201</v>
      </c>
      <c r="C64" s="101" t="s">
        <v>2785</v>
      </c>
      <c r="D64" s="40">
        <v>42860</v>
      </c>
      <c r="E64" s="40">
        <v>44036</v>
      </c>
      <c r="F64" s="40">
        <v>45130</v>
      </c>
      <c r="G64" s="63" t="s">
        <v>5683</v>
      </c>
      <c r="H64" s="38" t="s">
        <v>203</v>
      </c>
      <c r="I64" s="39" t="s">
        <v>2492</v>
      </c>
      <c r="J64" s="38" t="s">
        <v>2539</v>
      </c>
      <c r="K64" s="38" t="s">
        <v>2587</v>
      </c>
      <c r="L64" s="31">
        <v>572000</v>
      </c>
      <c r="M64" s="31">
        <v>23997.26</v>
      </c>
      <c r="N64" s="42">
        <v>548002.74</v>
      </c>
      <c r="O64" s="30">
        <f t="shared" si="0"/>
        <v>0</v>
      </c>
      <c r="P64" s="26">
        <v>3.04</v>
      </c>
    </row>
    <row r="65" spans="2:16" x14ac:dyDescent="0.35">
      <c r="B65" s="39" t="s">
        <v>752</v>
      </c>
      <c r="C65" s="101" t="s">
        <v>2834</v>
      </c>
      <c r="D65" s="40">
        <v>43859</v>
      </c>
      <c r="E65" s="40">
        <v>44063</v>
      </c>
      <c r="F65" s="40">
        <v>45888</v>
      </c>
      <c r="G65" s="63" t="s">
        <v>6</v>
      </c>
      <c r="H65" s="38" t="s">
        <v>1315</v>
      </c>
      <c r="I65" s="39" t="s">
        <v>2480</v>
      </c>
      <c r="J65" s="38" t="s">
        <v>4469</v>
      </c>
      <c r="K65" s="38" t="s">
        <v>2587</v>
      </c>
      <c r="L65" s="31">
        <v>802500</v>
      </c>
      <c r="M65" s="31">
        <v>0</v>
      </c>
      <c r="N65" s="31">
        <v>72900</v>
      </c>
      <c r="O65" s="30">
        <f t="shared" si="0"/>
        <v>729600</v>
      </c>
      <c r="P65" s="26">
        <v>13.22</v>
      </c>
    </row>
    <row r="66" spans="2:16" x14ac:dyDescent="0.35">
      <c r="B66" s="39" t="s">
        <v>753</v>
      </c>
      <c r="C66" s="101" t="s">
        <v>2835</v>
      </c>
      <c r="D66" s="40">
        <v>43859</v>
      </c>
      <c r="E66" s="40">
        <v>44063</v>
      </c>
      <c r="F66" s="40">
        <v>45888</v>
      </c>
      <c r="G66" s="63" t="s">
        <v>6</v>
      </c>
      <c r="H66" s="38" t="s">
        <v>1315</v>
      </c>
      <c r="I66" s="39" t="s">
        <v>2480</v>
      </c>
      <c r="J66" s="38" t="s">
        <v>4469</v>
      </c>
      <c r="K66" s="38" t="s">
        <v>2591</v>
      </c>
      <c r="L66" s="31">
        <v>200000</v>
      </c>
      <c r="M66" s="31">
        <v>0</v>
      </c>
      <c r="N66" s="31">
        <f>129304.41+14280.25</f>
        <v>143584.66</v>
      </c>
      <c r="O66" s="30">
        <f t="shared" si="0"/>
        <v>56415.34</v>
      </c>
      <c r="P66" s="26">
        <v>13.22</v>
      </c>
    </row>
    <row r="67" spans="2:16" x14ac:dyDescent="0.35">
      <c r="B67" s="39" t="s">
        <v>2331</v>
      </c>
      <c r="C67" s="101" t="s">
        <v>2851</v>
      </c>
      <c r="D67" s="40">
        <v>44025</v>
      </c>
      <c r="E67" s="40">
        <v>44063</v>
      </c>
      <c r="F67" s="40">
        <v>45888</v>
      </c>
      <c r="G67" s="63" t="s">
        <v>5683</v>
      </c>
      <c r="H67" s="38" t="s">
        <v>2333</v>
      </c>
      <c r="I67" s="39" t="s">
        <v>2499</v>
      </c>
      <c r="J67" s="38" t="s">
        <v>4493</v>
      </c>
      <c r="K67" s="38" t="s">
        <v>2583</v>
      </c>
      <c r="L67" s="31">
        <v>54400</v>
      </c>
      <c r="M67" s="31">
        <v>39680</v>
      </c>
      <c r="N67" s="31">
        <v>14720</v>
      </c>
      <c r="O67" s="30">
        <f t="shared" si="0"/>
        <v>0</v>
      </c>
      <c r="P67" s="26">
        <v>0.19</v>
      </c>
    </row>
    <row r="68" spans="2:16" x14ac:dyDescent="0.35">
      <c r="B68" s="39" t="s">
        <v>1951</v>
      </c>
      <c r="C68" s="101" t="s">
        <v>1956</v>
      </c>
      <c r="D68" s="40">
        <v>43404</v>
      </c>
      <c r="E68" s="40">
        <v>44069</v>
      </c>
      <c r="F68" s="40">
        <v>45894</v>
      </c>
      <c r="G68" s="63" t="s">
        <v>6</v>
      </c>
      <c r="H68" s="38" t="s">
        <v>1957</v>
      </c>
      <c r="I68" s="39" t="s">
        <v>2480</v>
      </c>
      <c r="J68" s="38" t="s">
        <v>2549</v>
      </c>
      <c r="K68" s="38" t="s">
        <v>3092</v>
      </c>
      <c r="L68" s="31">
        <v>33438.75</v>
      </c>
      <c r="M68" s="31">
        <v>0</v>
      </c>
      <c r="N68" s="31">
        <v>0</v>
      </c>
      <c r="O68" s="30">
        <f t="shared" si="0"/>
        <v>33438.75</v>
      </c>
      <c r="P68" s="27" t="s">
        <v>2874</v>
      </c>
    </row>
    <row r="69" spans="2:16" x14ac:dyDescent="0.35">
      <c r="B69" s="39" t="s">
        <v>1951</v>
      </c>
      <c r="C69" s="101" t="s">
        <v>3287</v>
      </c>
      <c r="D69" s="40">
        <v>43404</v>
      </c>
      <c r="E69" s="40">
        <v>44074</v>
      </c>
      <c r="F69" s="40">
        <v>46537</v>
      </c>
      <c r="G69" s="63" t="s">
        <v>6</v>
      </c>
      <c r="H69" s="38" t="s">
        <v>1969</v>
      </c>
      <c r="I69" s="39" t="s">
        <v>2480</v>
      </c>
      <c r="J69" s="38" t="s">
        <v>2549</v>
      </c>
      <c r="K69" s="38" t="s">
        <v>3092</v>
      </c>
      <c r="L69" s="31">
        <v>64721.01</v>
      </c>
      <c r="M69" s="31">
        <v>0</v>
      </c>
      <c r="N69" s="31">
        <v>0</v>
      </c>
      <c r="O69" s="30">
        <f t="shared" si="0"/>
        <v>64721.01</v>
      </c>
      <c r="P69" s="27" t="s">
        <v>2874</v>
      </c>
    </row>
    <row r="70" spans="2:16" ht="43.5" x14ac:dyDescent="0.35">
      <c r="B70" s="39" t="s">
        <v>2379</v>
      </c>
      <c r="C70" s="101" t="s">
        <v>2879</v>
      </c>
      <c r="D70" s="40">
        <v>44047</v>
      </c>
      <c r="E70" s="40">
        <v>44085</v>
      </c>
      <c r="F70" s="40">
        <v>45910</v>
      </c>
      <c r="G70" s="63" t="s">
        <v>5683</v>
      </c>
      <c r="H70" s="38" t="s">
        <v>2381</v>
      </c>
      <c r="I70" s="39" t="s">
        <v>2503</v>
      </c>
      <c r="J70" s="38" t="s">
        <v>4496</v>
      </c>
      <c r="K70" s="38" t="s">
        <v>2583</v>
      </c>
      <c r="L70" s="31">
        <v>325500</v>
      </c>
      <c r="M70" s="31">
        <v>325500</v>
      </c>
      <c r="N70" s="31">
        <v>0</v>
      </c>
      <c r="O70" s="30">
        <f t="shared" ref="O70:O133" si="1">L70-M70-N70</f>
        <v>0</v>
      </c>
      <c r="P70" s="26" t="s">
        <v>6525</v>
      </c>
    </row>
    <row r="71" spans="2:16" x14ac:dyDescent="0.35">
      <c r="B71" s="39" t="s">
        <v>561</v>
      </c>
      <c r="C71" s="101" t="s">
        <v>562</v>
      </c>
      <c r="D71" s="40">
        <v>43496</v>
      </c>
      <c r="E71" s="40">
        <v>44088</v>
      </c>
      <c r="F71" s="40">
        <v>45913</v>
      </c>
      <c r="G71" s="63" t="s">
        <v>6</v>
      </c>
      <c r="H71" s="38" t="s">
        <v>563</v>
      </c>
      <c r="I71" s="39" t="s">
        <v>2480</v>
      </c>
      <c r="J71" s="38" t="s">
        <v>2533</v>
      </c>
      <c r="K71" s="38" t="s">
        <v>2587</v>
      </c>
      <c r="L71" s="31">
        <v>3537500</v>
      </c>
      <c r="M71" s="31">
        <v>0</v>
      </c>
      <c r="N71" s="31">
        <f>1899000+707500+707500</f>
        <v>3314000</v>
      </c>
      <c r="O71" s="30">
        <f t="shared" si="1"/>
        <v>223500</v>
      </c>
      <c r="P71" s="26">
        <v>17.73</v>
      </c>
    </row>
    <row r="72" spans="2:16" x14ac:dyDescent="0.35">
      <c r="B72" s="39" t="s">
        <v>564</v>
      </c>
      <c r="C72" s="101" t="s">
        <v>565</v>
      </c>
      <c r="D72" s="40">
        <v>43496</v>
      </c>
      <c r="E72" s="40">
        <v>44088</v>
      </c>
      <c r="F72" s="40">
        <v>45915</v>
      </c>
      <c r="G72" s="63" t="s">
        <v>6</v>
      </c>
      <c r="H72" s="38" t="s">
        <v>563</v>
      </c>
      <c r="I72" s="39" t="s">
        <v>2480</v>
      </c>
      <c r="J72" s="38" t="s">
        <v>2533</v>
      </c>
      <c r="K72" s="38" t="s">
        <v>2591</v>
      </c>
      <c r="L72" s="31">
        <v>1100000</v>
      </c>
      <c r="M72" s="31">
        <v>0</v>
      </c>
      <c r="N72" s="31">
        <v>0</v>
      </c>
      <c r="O72" s="30">
        <f t="shared" si="1"/>
        <v>1100000</v>
      </c>
      <c r="P72" s="26">
        <v>17.73</v>
      </c>
    </row>
    <row r="73" spans="2:16" x14ac:dyDescent="0.35">
      <c r="B73" s="39" t="s">
        <v>2364</v>
      </c>
      <c r="C73" s="101" t="s">
        <v>2877</v>
      </c>
      <c r="D73" s="40">
        <v>44026</v>
      </c>
      <c r="E73" s="40">
        <v>44098</v>
      </c>
      <c r="F73" s="40">
        <v>45923</v>
      </c>
      <c r="G73" s="63" t="s">
        <v>6</v>
      </c>
      <c r="H73" s="38" t="s">
        <v>2363</v>
      </c>
      <c r="I73" s="39" t="s">
        <v>2493</v>
      </c>
      <c r="J73" s="38" t="s">
        <v>2547</v>
      </c>
      <c r="K73" s="38" t="s">
        <v>2583</v>
      </c>
      <c r="L73" s="31">
        <v>5760000</v>
      </c>
      <c r="M73" s="31">
        <v>0</v>
      </c>
      <c r="N73" s="31">
        <f>1152000+1152000</f>
        <v>2304000</v>
      </c>
      <c r="O73" s="30">
        <f t="shared" si="1"/>
        <v>3456000</v>
      </c>
      <c r="P73" s="26">
        <v>4.71</v>
      </c>
    </row>
    <row r="74" spans="2:16" x14ac:dyDescent="0.35">
      <c r="B74" s="39" t="s">
        <v>2361</v>
      </c>
      <c r="C74" s="101" t="s">
        <v>2878</v>
      </c>
      <c r="D74" s="40">
        <v>44026</v>
      </c>
      <c r="E74" s="40">
        <v>44098</v>
      </c>
      <c r="F74" s="40">
        <v>45923</v>
      </c>
      <c r="G74" s="63" t="s">
        <v>5683</v>
      </c>
      <c r="H74" s="38" t="s">
        <v>2363</v>
      </c>
      <c r="I74" s="39" t="s">
        <v>2493</v>
      </c>
      <c r="J74" s="38" t="s">
        <v>2547</v>
      </c>
      <c r="K74" s="38" t="s">
        <v>2585</v>
      </c>
      <c r="L74" s="31">
        <v>6000000</v>
      </c>
      <c r="M74" s="31">
        <v>6000000</v>
      </c>
      <c r="N74" s="31">
        <v>0</v>
      </c>
      <c r="O74" s="30">
        <f t="shared" si="1"/>
        <v>0</v>
      </c>
      <c r="P74" s="26">
        <v>4.71</v>
      </c>
    </row>
    <row r="75" spans="2:16" x14ac:dyDescent="0.35">
      <c r="B75" s="39" t="s">
        <v>2366</v>
      </c>
      <c r="C75" s="101" t="s">
        <v>2711</v>
      </c>
      <c r="D75" s="40">
        <v>44026</v>
      </c>
      <c r="E75" s="40">
        <v>44098</v>
      </c>
      <c r="F75" s="40">
        <v>45923</v>
      </c>
      <c r="G75" s="63" t="s">
        <v>6</v>
      </c>
      <c r="H75" s="38" t="s">
        <v>2363</v>
      </c>
      <c r="I75" s="39" t="s">
        <v>2493</v>
      </c>
      <c r="J75" s="38" t="s">
        <v>2547</v>
      </c>
      <c r="K75" s="38" t="s">
        <v>2586</v>
      </c>
      <c r="L75" s="31">
        <v>22450000</v>
      </c>
      <c r="M75" s="31">
        <v>0</v>
      </c>
      <c r="N75" s="31">
        <v>8980000</v>
      </c>
      <c r="O75" s="30">
        <f t="shared" si="1"/>
        <v>13470000</v>
      </c>
      <c r="P75" s="26">
        <v>4.71</v>
      </c>
    </row>
    <row r="76" spans="2:16" x14ac:dyDescent="0.35">
      <c r="B76" s="39" t="s">
        <v>2389</v>
      </c>
      <c r="C76" s="101" t="s">
        <v>2855</v>
      </c>
      <c r="D76" s="40">
        <v>44047</v>
      </c>
      <c r="E76" s="40">
        <v>44099</v>
      </c>
      <c r="F76" s="40">
        <v>45924</v>
      </c>
      <c r="G76" s="63" t="s">
        <v>6</v>
      </c>
      <c r="H76" s="38" t="s">
        <v>2391</v>
      </c>
      <c r="I76" s="39" t="s">
        <v>2505</v>
      </c>
      <c r="J76" s="38" t="s">
        <v>4499</v>
      </c>
      <c r="K76" s="38" t="s">
        <v>2583</v>
      </c>
      <c r="L76" s="31">
        <v>1000000</v>
      </c>
      <c r="M76" s="31">
        <v>0</v>
      </c>
      <c r="N76" s="31">
        <f>600000+200000</f>
        <v>800000</v>
      </c>
      <c r="O76" s="30">
        <f t="shared" si="1"/>
        <v>200000</v>
      </c>
      <c r="P76" s="26">
        <v>20.5</v>
      </c>
    </row>
    <row r="77" spans="2:16" x14ac:dyDescent="0.35">
      <c r="B77" s="39" t="s">
        <v>2272</v>
      </c>
      <c r="C77" s="101" t="s">
        <v>2273</v>
      </c>
      <c r="D77" s="40">
        <v>43801</v>
      </c>
      <c r="E77" s="40">
        <v>44105</v>
      </c>
      <c r="F77" s="40">
        <v>45935</v>
      </c>
      <c r="G77" s="63" t="s">
        <v>6</v>
      </c>
      <c r="H77" s="38" t="s">
        <v>2274</v>
      </c>
      <c r="I77" s="39" t="s">
        <v>2480</v>
      </c>
      <c r="J77" s="38" t="s">
        <v>2549</v>
      </c>
      <c r="K77" s="38" t="s">
        <v>2587</v>
      </c>
      <c r="L77" s="31">
        <v>20000</v>
      </c>
      <c r="M77" s="31">
        <v>0</v>
      </c>
      <c r="N77" s="31">
        <v>14000</v>
      </c>
      <c r="O77" s="30">
        <f t="shared" si="1"/>
        <v>6000</v>
      </c>
      <c r="P77" s="26">
        <v>1.47</v>
      </c>
    </row>
    <row r="78" spans="2:16" x14ac:dyDescent="0.35">
      <c r="B78" s="39" t="s">
        <v>1951</v>
      </c>
      <c r="C78" s="101" t="s">
        <v>1966</v>
      </c>
      <c r="D78" s="40">
        <v>43404</v>
      </c>
      <c r="E78" s="40">
        <v>44117</v>
      </c>
      <c r="F78" s="40">
        <v>45942</v>
      </c>
      <c r="G78" s="63" t="s">
        <v>6</v>
      </c>
      <c r="H78" s="38" t="s">
        <v>1967</v>
      </c>
      <c r="I78" s="39" t="s">
        <v>2480</v>
      </c>
      <c r="J78" s="38" t="s">
        <v>2549</v>
      </c>
      <c r="K78" s="38" t="s">
        <v>3092</v>
      </c>
      <c r="L78" s="31">
        <v>52016</v>
      </c>
      <c r="M78" s="31">
        <v>0</v>
      </c>
      <c r="N78" s="31">
        <v>45142.31</v>
      </c>
      <c r="O78" s="30">
        <f t="shared" si="1"/>
        <v>6873.6900000000023</v>
      </c>
      <c r="P78" s="27" t="s">
        <v>2874</v>
      </c>
    </row>
    <row r="79" spans="2:16" x14ac:dyDescent="0.35">
      <c r="B79" s="35" t="s">
        <v>1951</v>
      </c>
      <c r="C79" s="80" t="s">
        <v>2725</v>
      </c>
      <c r="D79" s="36">
        <v>43404</v>
      </c>
      <c r="E79" s="37">
        <v>44120</v>
      </c>
      <c r="F79" s="37">
        <v>45945</v>
      </c>
      <c r="G79" s="64" t="s">
        <v>6</v>
      </c>
      <c r="H79" s="43" t="s">
        <v>3571</v>
      </c>
      <c r="I79" s="39" t="s">
        <v>2538</v>
      </c>
      <c r="J79" s="38" t="s">
        <v>4471</v>
      </c>
      <c r="K79" s="38" t="s">
        <v>3092</v>
      </c>
      <c r="L79" s="30">
        <v>60750</v>
      </c>
      <c r="M79" s="30">
        <v>0</v>
      </c>
      <c r="N79" s="30">
        <v>0</v>
      </c>
      <c r="O79" s="30">
        <f t="shared" si="1"/>
        <v>60750</v>
      </c>
      <c r="P79" s="44" t="s">
        <v>2874</v>
      </c>
    </row>
    <row r="80" spans="2:16" ht="29" x14ac:dyDescent="0.35">
      <c r="B80" s="35" t="s">
        <v>1951</v>
      </c>
      <c r="C80" s="80" t="s">
        <v>2787</v>
      </c>
      <c r="D80" s="36">
        <v>43404</v>
      </c>
      <c r="E80" s="37">
        <v>44120</v>
      </c>
      <c r="F80" s="37">
        <v>45945</v>
      </c>
      <c r="G80" s="64" t="s">
        <v>6</v>
      </c>
      <c r="H80" s="43" t="s">
        <v>2965</v>
      </c>
      <c r="I80" s="35" t="s">
        <v>2516</v>
      </c>
      <c r="J80" s="38" t="s">
        <v>2966</v>
      </c>
      <c r="K80" s="38" t="s">
        <v>3092</v>
      </c>
      <c r="L80" s="30">
        <v>300000</v>
      </c>
      <c r="M80" s="30">
        <v>0</v>
      </c>
      <c r="N80" s="30">
        <v>0</v>
      </c>
      <c r="O80" s="30">
        <f t="shared" si="1"/>
        <v>300000</v>
      </c>
      <c r="P80" s="44" t="s">
        <v>2874</v>
      </c>
    </row>
    <row r="81" spans="2:17" x14ac:dyDescent="0.35">
      <c r="B81" s="35" t="s">
        <v>1951</v>
      </c>
      <c r="C81" s="80" t="s">
        <v>3344</v>
      </c>
      <c r="D81" s="36">
        <v>43404</v>
      </c>
      <c r="E81" s="36">
        <v>44120</v>
      </c>
      <c r="F81" s="36">
        <v>45945</v>
      </c>
      <c r="G81" s="64" t="s">
        <v>6</v>
      </c>
      <c r="H81" s="43" t="s">
        <v>3345</v>
      </c>
      <c r="I81" s="39" t="s">
        <v>3346</v>
      </c>
      <c r="J81" s="38" t="s">
        <v>4471</v>
      </c>
      <c r="K81" s="38" t="s">
        <v>3092</v>
      </c>
      <c r="L81" s="49">
        <v>212017</v>
      </c>
      <c r="M81" s="49">
        <v>0</v>
      </c>
      <c r="N81" s="49">
        <f>49400+152073</f>
        <v>201473</v>
      </c>
      <c r="O81" s="30">
        <f t="shared" si="1"/>
        <v>10544</v>
      </c>
      <c r="P81" s="43" t="s">
        <v>2874</v>
      </c>
    </row>
    <row r="82" spans="2:17" x14ac:dyDescent="0.35">
      <c r="B82" s="39" t="s">
        <v>600</v>
      </c>
      <c r="C82" s="101" t="s">
        <v>2716</v>
      </c>
      <c r="D82" s="40">
        <v>43661</v>
      </c>
      <c r="E82" s="40">
        <v>44124</v>
      </c>
      <c r="F82" s="40">
        <v>45949</v>
      </c>
      <c r="G82" s="63" t="s">
        <v>5683</v>
      </c>
      <c r="H82" s="38" t="s">
        <v>601</v>
      </c>
      <c r="I82" s="39" t="s">
        <v>2480</v>
      </c>
      <c r="J82" s="38" t="s">
        <v>4483</v>
      </c>
      <c r="K82" s="38" t="s">
        <v>2587</v>
      </c>
      <c r="L82" s="31">
        <v>40000</v>
      </c>
      <c r="M82" s="31">
        <v>40000</v>
      </c>
      <c r="N82" s="31">
        <v>0</v>
      </c>
      <c r="O82" s="30">
        <f t="shared" si="1"/>
        <v>0</v>
      </c>
      <c r="P82" s="26">
        <v>39.840000000000003</v>
      </c>
    </row>
    <row r="83" spans="2:17" x14ac:dyDescent="0.35">
      <c r="B83" s="39" t="s">
        <v>602</v>
      </c>
      <c r="C83" s="101" t="s">
        <v>2717</v>
      </c>
      <c r="D83" s="40">
        <v>43661</v>
      </c>
      <c r="E83" s="40">
        <v>44124</v>
      </c>
      <c r="F83" s="40">
        <v>45949</v>
      </c>
      <c r="G83" s="63" t="s">
        <v>5683</v>
      </c>
      <c r="H83" s="38" t="s">
        <v>601</v>
      </c>
      <c r="I83" s="39" t="s">
        <v>2480</v>
      </c>
      <c r="J83" s="38" t="s">
        <v>4483</v>
      </c>
      <c r="K83" s="38" t="s">
        <v>2591</v>
      </c>
      <c r="L83" s="31">
        <v>297270</v>
      </c>
      <c r="M83" s="31">
        <v>283996.74</v>
      </c>
      <c r="N83" s="31">
        <v>13273.26</v>
      </c>
      <c r="O83" s="30">
        <f t="shared" ref="O83" si="2">L83-M83-N83</f>
        <v>0</v>
      </c>
      <c r="P83" s="26">
        <v>39.840000000000003</v>
      </c>
    </row>
    <row r="84" spans="2:17" x14ac:dyDescent="0.35">
      <c r="B84" s="39" t="s">
        <v>2406</v>
      </c>
      <c r="C84" s="101" t="s">
        <v>2862</v>
      </c>
      <c r="D84" s="40">
        <v>44083</v>
      </c>
      <c r="E84" s="40">
        <v>44124</v>
      </c>
      <c r="F84" s="40">
        <v>45949</v>
      </c>
      <c r="G84" s="63" t="s">
        <v>6</v>
      </c>
      <c r="H84" s="38" t="s">
        <v>5427</v>
      </c>
      <c r="I84" s="39" t="s">
        <v>2494</v>
      </c>
      <c r="J84" s="38" t="s">
        <v>2549</v>
      </c>
      <c r="K84" s="38" t="s">
        <v>2586</v>
      </c>
      <c r="L84" s="31">
        <v>50000</v>
      </c>
      <c r="M84" s="31">
        <v>0</v>
      </c>
      <c r="N84" s="31">
        <v>48912.9</v>
      </c>
      <c r="O84" s="30">
        <f t="shared" si="1"/>
        <v>1087.0999999999985</v>
      </c>
      <c r="P84" s="26">
        <v>5.92</v>
      </c>
    </row>
    <row r="85" spans="2:17" x14ac:dyDescent="0.35">
      <c r="B85" s="39" t="s">
        <v>2405</v>
      </c>
      <c r="C85" s="101" t="s">
        <v>2881</v>
      </c>
      <c r="D85" s="40">
        <v>44083</v>
      </c>
      <c r="E85" s="40">
        <v>44124</v>
      </c>
      <c r="F85" s="40">
        <v>45949</v>
      </c>
      <c r="G85" s="63" t="s">
        <v>6</v>
      </c>
      <c r="H85" s="38" t="s">
        <v>5427</v>
      </c>
      <c r="I85" s="39" t="s">
        <v>2494</v>
      </c>
      <c r="J85" s="38" t="s">
        <v>2549</v>
      </c>
      <c r="K85" s="38" t="s">
        <v>2583</v>
      </c>
      <c r="L85" s="31">
        <v>75000</v>
      </c>
      <c r="M85" s="31">
        <v>0</v>
      </c>
      <c r="N85" s="31">
        <v>50000</v>
      </c>
      <c r="O85" s="30">
        <f t="shared" si="1"/>
        <v>25000</v>
      </c>
      <c r="P85" s="26">
        <v>5.92</v>
      </c>
    </row>
    <row r="86" spans="2:17" x14ac:dyDescent="0.35">
      <c r="B86" s="35" t="s">
        <v>1951</v>
      </c>
      <c r="C86" s="80" t="s">
        <v>2786</v>
      </c>
      <c r="D86" s="36">
        <v>43404</v>
      </c>
      <c r="E86" s="36">
        <v>44126</v>
      </c>
      <c r="F86" s="36">
        <v>45951</v>
      </c>
      <c r="G86" s="64" t="s">
        <v>6</v>
      </c>
      <c r="H86" s="43" t="s">
        <v>2967</v>
      </c>
      <c r="I86" s="35" t="s">
        <v>2506</v>
      </c>
      <c r="J86" s="38" t="s">
        <v>4471</v>
      </c>
      <c r="K86" s="38" t="s">
        <v>3092</v>
      </c>
      <c r="L86" s="30">
        <v>42862</v>
      </c>
      <c r="M86" s="30">
        <v>0</v>
      </c>
      <c r="N86" s="30">
        <v>41535</v>
      </c>
      <c r="O86" s="30">
        <f t="shared" si="1"/>
        <v>1327</v>
      </c>
      <c r="P86" s="44" t="s">
        <v>2874</v>
      </c>
    </row>
    <row r="87" spans="2:17" x14ac:dyDescent="0.35">
      <c r="B87" s="39" t="s">
        <v>745</v>
      </c>
      <c r="C87" s="101" t="s">
        <v>2732</v>
      </c>
      <c r="D87" s="40">
        <v>43846</v>
      </c>
      <c r="E87" s="40">
        <v>44126</v>
      </c>
      <c r="F87" s="40">
        <v>45951</v>
      </c>
      <c r="G87" s="63" t="s">
        <v>5683</v>
      </c>
      <c r="H87" s="38" t="s">
        <v>746</v>
      </c>
      <c r="I87" s="39" t="s">
        <v>2480</v>
      </c>
      <c r="J87" s="38" t="s">
        <v>2530</v>
      </c>
      <c r="K87" s="38" t="s">
        <v>2587</v>
      </c>
      <c r="L87" s="31">
        <v>600000</v>
      </c>
      <c r="M87" s="31">
        <v>574400</v>
      </c>
      <c r="N87" s="31">
        <v>25600</v>
      </c>
      <c r="O87" s="30">
        <f t="shared" si="1"/>
        <v>0</v>
      </c>
      <c r="P87" s="26">
        <v>9.1300000000000008</v>
      </c>
    </row>
    <row r="88" spans="2:17" x14ac:dyDescent="0.35">
      <c r="B88" s="39" t="s">
        <v>747</v>
      </c>
      <c r="C88" s="101" t="s">
        <v>2721</v>
      </c>
      <c r="D88" s="40">
        <v>43846</v>
      </c>
      <c r="E88" s="40">
        <v>44126</v>
      </c>
      <c r="F88" s="40">
        <v>45951</v>
      </c>
      <c r="G88" s="63" t="s">
        <v>6</v>
      </c>
      <c r="H88" s="38" t="s">
        <v>746</v>
      </c>
      <c r="I88" s="39" t="s">
        <v>2480</v>
      </c>
      <c r="J88" s="38" t="s">
        <v>2530</v>
      </c>
      <c r="K88" s="38" t="s">
        <v>2591</v>
      </c>
      <c r="L88" s="31">
        <v>300000</v>
      </c>
      <c r="M88" s="31">
        <v>0</v>
      </c>
      <c r="N88" s="31">
        <f>117811+13950</f>
        <v>131761</v>
      </c>
      <c r="O88" s="30">
        <f t="shared" si="1"/>
        <v>168239</v>
      </c>
      <c r="P88" s="26">
        <v>9.1300000000000008</v>
      </c>
    </row>
    <row r="89" spans="2:17" x14ac:dyDescent="0.35">
      <c r="B89" s="39" t="s">
        <v>2349</v>
      </c>
      <c r="C89" s="101" t="s">
        <v>2876</v>
      </c>
      <c r="D89" s="40">
        <v>44026</v>
      </c>
      <c r="E89" s="40">
        <v>44127</v>
      </c>
      <c r="F89" s="40">
        <v>45952</v>
      </c>
      <c r="G89" s="63" t="s">
        <v>6</v>
      </c>
      <c r="H89" s="38" t="s">
        <v>2350</v>
      </c>
      <c r="I89" s="39" t="s">
        <v>2500</v>
      </c>
      <c r="J89" s="38" t="s">
        <v>4465</v>
      </c>
      <c r="K89" s="38" t="s">
        <v>2583</v>
      </c>
      <c r="L89" s="31">
        <v>15600</v>
      </c>
      <c r="M89" s="31">
        <v>0</v>
      </c>
      <c r="N89" s="31">
        <v>0</v>
      </c>
      <c r="O89" s="30">
        <f t="shared" si="1"/>
        <v>15600</v>
      </c>
      <c r="P89" s="26">
        <v>4.47</v>
      </c>
    </row>
    <row r="90" spans="2:17" x14ac:dyDescent="0.35">
      <c r="B90" s="39" t="s">
        <v>2384</v>
      </c>
      <c r="C90" s="101" t="s">
        <v>1966</v>
      </c>
      <c r="D90" s="40">
        <v>44047</v>
      </c>
      <c r="E90" s="40">
        <v>44127</v>
      </c>
      <c r="F90" s="40">
        <v>45952</v>
      </c>
      <c r="G90" s="63" t="s">
        <v>6</v>
      </c>
      <c r="H90" s="38" t="s">
        <v>2385</v>
      </c>
      <c r="I90" s="39" t="s">
        <v>2504</v>
      </c>
      <c r="J90" s="38" t="s">
        <v>4497</v>
      </c>
      <c r="K90" s="38" t="s">
        <v>2583</v>
      </c>
      <c r="L90" s="31">
        <v>40000</v>
      </c>
      <c r="M90" s="31">
        <v>0</v>
      </c>
      <c r="N90" s="31">
        <v>0</v>
      </c>
      <c r="O90" s="30">
        <f t="shared" si="1"/>
        <v>40000</v>
      </c>
      <c r="P90" s="26">
        <v>1.45</v>
      </c>
    </row>
    <row r="91" spans="2:17" x14ac:dyDescent="0.35">
      <c r="B91" s="39" t="s">
        <v>2386</v>
      </c>
      <c r="C91" s="101" t="s">
        <v>2852</v>
      </c>
      <c r="D91" s="40">
        <v>44047</v>
      </c>
      <c r="E91" s="67">
        <v>44127</v>
      </c>
      <c r="F91" s="40">
        <v>45952</v>
      </c>
      <c r="G91" s="63" t="s">
        <v>6</v>
      </c>
      <c r="H91" s="38" t="s">
        <v>2385</v>
      </c>
      <c r="I91" s="39" t="s">
        <v>2504</v>
      </c>
      <c r="J91" s="38" t="s">
        <v>4497</v>
      </c>
      <c r="K91" s="38" t="s">
        <v>2586</v>
      </c>
      <c r="L91" s="31">
        <v>330000</v>
      </c>
      <c r="M91" s="31">
        <v>0</v>
      </c>
      <c r="N91" s="31">
        <v>185899.85</v>
      </c>
      <c r="O91" s="30">
        <f t="shared" si="1"/>
        <v>144100.15</v>
      </c>
      <c r="P91" s="26">
        <v>1.45</v>
      </c>
    </row>
    <row r="92" spans="2:17" ht="29" x14ac:dyDescent="0.35">
      <c r="B92" s="39" t="s">
        <v>2377</v>
      </c>
      <c r="C92" s="101" t="s">
        <v>2856</v>
      </c>
      <c r="D92" s="40">
        <v>44047</v>
      </c>
      <c r="E92" s="40">
        <v>44131</v>
      </c>
      <c r="F92" s="40">
        <v>45956</v>
      </c>
      <c r="G92" s="63" t="s">
        <v>6</v>
      </c>
      <c r="H92" s="38" t="s">
        <v>2376</v>
      </c>
      <c r="I92" s="39" t="s">
        <v>2502</v>
      </c>
      <c r="J92" s="38" t="s">
        <v>2571</v>
      </c>
      <c r="K92" s="38" t="s">
        <v>2583</v>
      </c>
      <c r="L92" s="31">
        <v>209000</v>
      </c>
      <c r="M92" s="31">
        <v>0</v>
      </c>
      <c r="N92" s="31">
        <v>125400</v>
      </c>
      <c r="O92" s="30">
        <f t="shared" si="1"/>
        <v>83600</v>
      </c>
      <c r="P92" s="26">
        <v>0.61</v>
      </c>
    </row>
    <row r="93" spans="2:17" ht="29" x14ac:dyDescent="0.35">
      <c r="B93" s="39" t="s">
        <v>2375</v>
      </c>
      <c r="C93" s="101" t="s">
        <v>5424</v>
      </c>
      <c r="D93" s="40">
        <v>44047</v>
      </c>
      <c r="E93" s="67">
        <v>44131</v>
      </c>
      <c r="F93" s="40">
        <v>45956</v>
      </c>
      <c r="G93" s="63" t="s">
        <v>6</v>
      </c>
      <c r="H93" s="38" t="s">
        <v>2376</v>
      </c>
      <c r="I93" s="39" t="s">
        <v>2502</v>
      </c>
      <c r="J93" s="38" t="s">
        <v>2571</v>
      </c>
      <c r="K93" s="38" t="s">
        <v>2586</v>
      </c>
      <c r="L93" s="31">
        <v>2300000</v>
      </c>
      <c r="M93" s="31">
        <v>0</v>
      </c>
      <c r="N93" s="31">
        <f>570528+130964.26+449.92+1393228.8</f>
        <v>2095170.98</v>
      </c>
      <c r="O93" s="30">
        <f t="shared" si="1"/>
        <v>204829.02000000002</v>
      </c>
      <c r="P93" s="26">
        <v>0.61</v>
      </c>
    </row>
    <row r="94" spans="2:17" ht="43.5" x14ac:dyDescent="0.35">
      <c r="B94" s="35" t="s">
        <v>1951</v>
      </c>
      <c r="C94" s="80" t="s">
        <v>2880</v>
      </c>
      <c r="D94" s="36">
        <v>43404</v>
      </c>
      <c r="E94" s="37">
        <v>44132</v>
      </c>
      <c r="F94" s="37">
        <v>45957</v>
      </c>
      <c r="G94" s="64" t="s">
        <v>6</v>
      </c>
      <c r="H94" s="43" t="s">
        <v>2963</v>
      </c>
      <c r="I94" s="35" t="s">
        <v>2498</v>
      </c>
      <c r="J94" s="38" t="s">
        <v>2964</v>
      </c>
      <c r="K94" s="38" t="s">
        <v>3092</v>
      </c>
      <c r="L94" s="30">
        <v>104325</v>
      </c>
      <c r="M94" s="30">
        <v>0</v>
      </c>
      <c r="N94" s="30">
        <v>9000</v>
      </c>
      <c r="O94" s="30">
        <f t="shared" si="1"/>
        <v>95325</v>
      </c>
      <c r="P94" s="44" t="s">
        <v>2874</v>
      </c>
    </row>
    <row r="95" spans="2:17" x14ac:dyDescent="0.35">
      <c r="B95" s="39" t="s">
        <v>2352</v>
      </c>
      <c r="C95" s="101" t="s">
        <v>2710</v>
      </c>
      <c r="D95" s="40">
        <v>44026</v>
      </c>
      <c r="E95" s="40">
        <v>44133</v>
      </c>
      <c r="F95" s="40">
        <v>45958</v>
      </c>
      <c r="G95" s="63" t="s">
        <v>6</v>
      </c>
      <c r="H95" s="38" t="s">
        <v>2353</v>
      </c>
      <c r="I95" s="39" t="s">
        <v>2484</v>
      </c>
      <c r="J95" s="38" t="s">
        <v>4495</v>
      </c>
      <c r="K95" s="38" t="s">
        <v>2583</v>
      </c>
      <c r="L95" s="31">
        <v>60000</v>
      </c>
      <c r="M95" s="31">
        <v>0</v>
      </c>
      <c r="N95" s="31">
        <f>22400+12000+10000</f>
        <v>44400</v>
      </c>
      <c r="O95" s="30">
        <f t="shared" si="1"/>
        <v>15600</v>
      </c>
      <c r="P95" s="26">
        <v>0.76</v>
      </c>
      <c r="Q95" s="60"/>
    </row>
    <row r="96" spans="2:17" ht="29" x14ac:dyDescent="0.35">
      <c r="B96" s="39" t="s">
        <v>2439</v>
      </c>
      <c r="C96" s="101" t="s">
        <v>4072</v>
      </c>
      <c r="D96" s="40">
        <v>44109</v>
      </c>
      <c r="E96" s="40">
        <v>44141</v>
      </c>
      <c r="F96" s="40">
        <v>45966</v>
      </c>
      <c r="G96" s="63" t="s">
        <v>6</v>
      </c>
      <c r="H96" s="38" t="s">
        <v>2440</v>
      </c>
      <c r="I96" s="39" t="s">
        <v>2479</v>
      </c>
      <c r="J96" s="38" t="s">
        <v>2550</v>
      </c>
      <c r="K96" s="38" t="s">
        <v>2583</v>
      </c>
      <c r="L96" s="31">
        <v>25250</v>
      </c>
      <c r="M96" s="31">
        <v>0</v>
      </c>
      <c r="N96" s="31">
        <v>19950</v>
      </c>
      <c r="O96" s="30">
        <f t="shared" si="1"/>
        <v>5300</v>
      </c>
      <c r="P96" s="26">
        <v>0.33</v>
      </c>
    </row>
    <row r="97" spans="2:16" ht="29" x14ac:dyDescent="0.35">
      <c r="B97" s="39" t="s">
        <v>2441</v>
      </c>
      <c r="C97" s="101" t="s">
        <v>4071</v>
      </c>
      <c r="D97" s="40">
        <v>44109</v>
      </c>
      <c r="E97" s="40">
        <v>44141</v>
      </c>
      <c r="F97" s="40">
        <v>45966</v>
      </c>
      <c r="G97" s="63" t="s">
        <v>6</v>
      </c>
      <c r="H97" s="38" t="s">
        <v>2440</v>
      </c>
      <c r="I97" s="39" t="s">
        <v>2479</v>
      </c>
      <c r="J97" s="38" t="s">
        <v>2550</v>
      </c>
      <c r="K97" s="38" t="s">
        <v>2585</v>
      </c>
      <c r="L97" s="31">
        <v>223685</v>
      </c>
      <c r="M97" s="31">
        <v>0</v>
      </c>
      <c r="N97" s="31">
        <f>128635.6</f>
        <v>128635.6</v>
      </c>
      <c r="O97" s="30">
        <f t="shared" si="1"/>
        <v>95049.4</v>
      </c>
      <c r="P97" s="26">
        <v>0.33</v>
      </c>
    </row>
    <row r="98" spans="2:16" x14ac:dyDescent="0.35">
      <c r="B98" s="35" t="s">
        <v>1951</v>
      </c>
      <c r="C98" s="80" t="s">
        <v>2968</v>
      </c>
      <c r="D98" s="36">
        <v>43404</v>
      </c>
      <c r="E98" s="37">
        <v>44151</v>
      </c>
      <c r="F98" s="37">
        <v>45976</v>
      </c>
      <c r="G98" s="64" t="s">
        <v>6</v>
      </c>
      <c r="H98" s="43" t="s">
        <v>2969</v>
      </c>
      <c r="I98" s="39" t="s">
        <v>2494</v>
      </c>
      <c r="J98" s="38" t="s">
        <v>2970</v>
      </c>
      <c r="K98" s="38" t="s">
        <v>3092</v>
      </c>
      <c r="L98" s="30">
        <v>21863</v>
      </c>
      <c r="M98" s="30">
        <v>0</v>
      </c>
      <c r="N98" s="30">
        <v>0</v>
      </c>
      <c r="O98" s="30">
        <f t="shared" si="1"/>
        <v>21863</v>
      </c>
      <c r="P98" s="44" t="s">
        <v>2874</v>
      </c>
    </row>
    <row r="99" spans="2:16" x14ac:dyDescent="0.35">
      <c r="B99" s="39" t="s">
        <v>2336</v>
      </c>
      <c r="C99" s="101" t="s">
        <v>2875</v>
      </c>
      <c r="D99" s="40">
        <v>44025</v>
      </c>
      <c r="E99" s="40">
        <v>44165</v>
      </c>
      <c r="F99" s="40">
        <v>45990</v>
      </c>
      <c r="G99" s="63" t="s">
        <v>6</v>
      </c>
      <c r="H99" s="38" t="s">
        <v>2337</v>
      </c>
      <c r="I99" s="39" t="s">
        <v>2484</v>
      </c>
      <c r="J99" s="38" t="s">
        <v>4494</v>
      </c>
      <c r="K99" s="38" t="s">
        <v>2583</v>
      </c>
      <c r="L99" s="31">
        <v>430000</v>
      </c>
      <c r="M99" s="31">
        <v>0</v>
      </c>
      <c r="N99" s="31">
        <v>164800</v>
      </c>
      <c r="O99" s="30">
        <f t="shared" si="1"/>
        <v>265200</v>
      </c>
      <c r="P99" s="26">
        <v>4.9000000000000004</v>
      </c>
    </row>
    <row r="100" spans="2:16" x14ac:dyDescent="0.35">
      <c r="B100" s="39" t="s">
        <v>2387</v>
      </c>
      <c r="C100" s="101" t="s">
        <v>2708</v>
      </c>
      <c r="D100" s="40">
        <v>44047</v>
      </c>
      <c r="E100" s="40">
        <v>44187</v>
      </c>
      <c r="F100" s="40">
        <v>46012</v>
      </c>
      <c r="G100" s="63" t="s">
        <v>6</v>
      </c>
      <c r="H100" s="38" t="s">
        <v>2388</v>
      </c>
      <c r="I100" s="39" t="s">
        <v>2503</v>
      </c>
      <c r="J100" s="38" t="s">
        <v>4498</v>
      </c>
      <c r="K100" s="38" t="s">
        <v>2583</v>
      </c>
      <c r="L100" s="31">
        <v>2680000</v>
      </c>
      <c r="M100" s="31">
        <v>0</v>
      </c>
      <c r="N100" s="31">
        <f>536000+536000</f>
        <v>1072000</v>
      </c>
      <c r="O100" s="30">
        <f t="shared" si="1"/>
        <v>1608000</v>
      </c>
      <c r="P100" s="26">
        <v>11.04</v>
      </c>
    </row>
    <row r="101" spans="2:16" x14ac:dyDescent="0.35">
      <c r="B101" s="35" t="s">
        <v>1951</v>
      </c>
      <c r="C101" s="80" t="s">
        <v>6365</v>
      </c>
      <c r="D101" s="36">
        <v>43404</v>
      </c>
      <c r="E101" s="37">
        <v>44195</v>
      </c>
      <c r="F101" s="37">
        <v>46020</v>
      </c>
      <c r="G101" s="64" t="s">
        <v>6</v>
      </c>
      <c r="H101" s="43" t="s">
        <v>2973</v>
      </c>
      <c r="I101" s="35" t="s">
        <v>2499</v>
      </c>
      <c r="J101" s="38" t="s">
        <v>4474</v>
      </c>
      <c r="K101" s="38" t="s">
        <v>3092</v>
      </c>
      <c r="L101" s="30">
        <v>225000</v>
      </c>
      <c r="M101" s="30">
        <v>0</v>
      </c>
      <c r="N101" s="30">
        <v>28500</v>
      </c>
      <c r="O101" s="30">
        <f t="shared" si="1"/>
        <v>196500</v>
      </c>
      <c r="P101" s="44" t="s">
        <v>2874</v>
      </c>
    </row>
    <row r="102" spans="2:16" ht="29" x14ac:dyDescent="0.35">
      <c r="B102" s="39" t="s">
        <v>2464</v>
      </c>
      <c r="C102" s="101" t="s">
        <v>2724</v>
      </c>
      <c r="D102" s="40">
        <v>44109</v>
      </c>
      <c r="E102" s="40">
        <v>44216</v>
      </c>
      <c r="F102" s="40">
        <v>46041</v>
      </c>
      <c r="G102" s="63" t="s">
        <v>6</v>
      </c>
      <c r="H102" s="38" t="s">
        <v>2465</v>
      </c>
      <c r="I102" s="39" t="s">
        <v>2492</v>
      </c>
      <c r="J102" s="38" t="s">
        <v>2579</v>
      </c>
      <c r="K102" s="38" t="s">
        <v>2583</v>
      </c>
      <c r="L102" s="31">
        <v>200000</v>
      </c>
      <c r="M102" s="31">
        <v>0</v>
      </c>
      <c r="N102" s="31">
        <f>18800+13200</f>
        <v>32000</v>
      </c>
      <c r="O102" s="30">
        <f t="shared" si="1"/>
        <v>168000</v>
      </c>
      <c r="P102" s="26">
        <v>6.85</v>
      </c>
    </row>
    <row r="103" spans="2:16" ht="29" x14ac:dyDescent="0.35">
      <c r="B103" s="39" t="s">
        <v>2466</v>
      </c>
      <c r="C103" s="101" t="s">
        <v>2723</v>
      </c>
      <c r="D103" s="40">
        <v>44109</v>
      </c>
      <c r="E103" s="40">
        <v>44216</v>
      </c>
      <c r="F103" s="40">
        <v>46041</v>
      </c>
      <c r="G103" s="63" t="s">
        <v>6</v>
      </c>
      <c r="H103" s="38" t="s">
        <v>2465</v>
      </c>
      <c r="I103" s="39" t="s">
        <v>2492</v>
      </c>
      <c r="J103" s="38" t="s">
        <v>2579</v>
      </c>
      <c r="K103" s="38" t="s">
        <v>2586</v>
      </c>
      <c r="L103" s="31">
        <v>200000</v>
      </c>
      <c r="M103" s="31">
        <v>0</v>
      </c>
      <c r="N103" s="31">
        <f>80000+39154+40000</f>
        <v>159154</v>
      </c>
      <c r="O103" s="30">
        <f t="shared" si="1"/>
        <v>40846</v>
      </c>
      <c r="P103" s="26">
        <v>6.85</v>
      </c>
    </row>
    <row r="104" spans="2:16" x14ac:dyDescent="0.35">
      <c r="B104" s="39" t="s">
        <v>2469</v>
      </c>
      <c r="C104" s="101" t="s">
        <v>2722</v>
      </c>
      <c r="D104" s="40">
        <v>44109</v>
      </c>
      <c r="E104" s="40">
        <v>44225</v>
      </c>
      <c r="F104" s="40">
        <v>46050</v>
      </c>
      <c r="G104" s="63" t="s">
        <v>6</v>
      </c>
      <c r="H104" s="38" t="s">
        <v>2468</v>
      </c>
      <c r="I104" s="39" t="s">
        <v>2480</v>
      </c>
      <c r="J104" s="38" t="s">
        <v>4465</v>
      </c>
      <c r="K104" s="38" t="s">
        <v>2583</v>
      </c>
      <c r="L104" s="31">
        <v>1895000</v>
      </c>
      <c r="M104" s="31">
        <v>0</v>
      </c>
      <c r="N104" s="31">
        <v>16500</v>
      </c>
      <c r="O104" s="30">
        <f t="shared" si="1"/>
        <v>1878500</v>
      </c>
      <c r="P104" s="26">
        <v>2.87</v>
      </c>
    </row>
    <row r="105" spans="2:16" x14ac:dyDescent="0.35">
      <c r="B105" s="39" t="s">
        <v>2449</v>
      </c>
      <c r="C105" s="101" t="s">
        <v>2362</v>
      </c>
      <c r="D105" s="40">
        <v>44109</v>
      </c>
      <c r="E105" s="40">
        <v>44230</v>
      </c>
      <c r="F105" s="40">
        <v>46055</v>
      </c>
      <c r="G105" s="63" t="s">
        <v>6</v>
      </c>
      <c r="H105" s="38" t="s">
        <v>2448</v>
      </c>
      <c r="I105" s="39" t="s">
        <v>2480</v>
      </c>
      <c r="J105" s="38" t="s">
        <v>4476</v>
      </c>
      <c r="K105" s="38" t="s">
        <v>2586</v>
      </c>
      <c r="L105" s="31">
        <v>50000</v>
      </c>
      <c r="M105" s="31">
        <v>0</v>
      </c>
      <c r="N105" s="31">
        <f>11697</f>
        <v>11697</v>
      </c>
      <c r="O105" s="30">
        <f t="shared" si="1"/>
        <v>38303</v>
      </c>
      <c r="P105" s="26">
        <v>2.38</v>
      </c>
    </row>
    <row r="106" spans="2:16" x14ac:dyDescent="0.35">
      <c r="B106" s="39" t="s">
        <v>2402</v>
      </c>
      <c r="C106" s="101" t="s">
        <v>2727</v>
      </c>
      <c r="D106" s="40">
        <v>44078</v>
      </c>
      <c r="E106" s="40">
        <v>44237</v>
      </c>
      <c r="F106" s="40">
        <v>45331</v>
      </c>
      <c r="G106" s="63" t="s">
        <v>5683</v>
      </c>
      <c r="H106" s="38" t="s">
        <v>2403</v>
      </c>
      <c r="I106" s="39" t="s">
        <v>2480</v>
      </c>
      <c r="J106" s="38" t="s">
        <v>2549</v>
      </c>
      <c r="K106" s="38" t="s">
        <v>2583</v>
      </c>
      <c r="L106" s="31">
        <v>40000</v>
      </c>
      <c r="M106" s="31">
        <v>22000</v>
      </c>
      <c r="N106" s="31">
        <v>18000</v>
      </c>
      <c r="O106" s="30">
        <f t="shared" si="1"/>
        <v>0</v>
      </c>
      <c r="P106" s="26">
        <v>0.4</v>
      </c>
    </row>
    <row r="107" spans="2:16" x14ac:dyDescent="0.35">
      <c r="B107" s="39" t="s">
        <v>2404</v>
      </c>
      <c r="C107" s="101" t="s">
        <v>2728</v>
      </c>
      <c r="D107" s="40">
        <v>44078</v>
      </c>
      <c r="E107" s="40">
        <v>44237</v>
      </c>
      <c r="F107" s="40">
        <v>45331</v>
      </c>
      <c r="G107" s="63" t="s">
        <v>6</v>
      </c>
      <c r="H107" s="38" t="s">
        <v>2403</v>
      </c>
      <c r="I107" s="39" t="s">
        <v>2480</v>
      </c>
      <c r="J107" s="38" t="s">
        <v>2549</v>
      </c>
      <c r="K107" s="38" t="s">
        <v>2586</v>
      </c>
      <c r="L107" s="31">
        <v>50000</v>
      </c>
      <c r="M107" s="31">
        <v>0</v>
      </c>
      <c r="N107" s="42">
        <v>16614.97</v>
      </c>
      <c r="O107" s="30">
        <f t="shared" si="1"/>
        <v>33385.03</v>
      </c>
      <c r="P107" s="26">
        <v>0.4</v>
      </c>
    </row>
    <row r="108" spans="2:16" x14ac:dyDescent="0.35">
      <c r="B108" s="39" t="s">
        <v>2695</v>
      </c>
      <c r="C108" s="101" t="s">
        <v>2718</v>
      </c>
      <c r="D108" s="40">
        <v>44194</v>
      </c>
      <c r="E108" s="40">
        <v>44245</v>
      </c>
      <c r="F108" s="40">
        <v>46070</v>
      </c>
      <c r="G108" s="63" t="s">
        <v>6</v>
      </c>
      <c r="H108" s="38" t="s">
        <v>2650</v>
      </c>
      <c r="I108" s="39" t="s">
        <v>2491</v>
      </c>
      <c r="J108" s="38" t="s">
        <v>2698</v>
      </c>
      <c r="K108" s="38" t="s">
        <v>2586</v>
      </c>
      <c r="L108" s="31">
        <v>16628.75</v>
      </c>
      <c r="M108" s="31">
        <v>0</v>
      </c>
      <c r="N108" s="31">
        <v>7500</v>
      </c>
      <c r="O108" s="30">
        <f t="shared" si="1"/>
        <v>9128.75</v>
      </c>
      <c r="P108" s="26">
        <v>16.5</v>
      </c>
    </row>
    <row r="109" spans="2:16" x14ac:dyDescent="0.35">
      <c r="B109" s="39" t="s">
        <v>2436</v>
      </c>
      <c r="C109" s="101" t="s">
        <v>2726</v>
      </c>
      <c r="D109" s="40">
        <v>44109</v>
      </c>
      <c r="E109" s="40">
        <v>44249</v>
      </c>
      <c r="F109" s="40">
        <v>45709</v>
      </c>
      <c r="G109" s="63" t="s">
        <v>6</v>
      </c>
      <c r="H109" s="38" t="s">
        <v>2437</v>
      </c>
      <c r="I109" s="39" t="s">
        <v>2480</v>
      </c>
      <c r="J109" s="38" t="s">
        <v>2572</v>
      </c>
      <c r="K109" s="38" t="s">
        <v>2583</v>
      </c>
      <c r="L109" s="31">
        <v>51000</v>
      </c>
      <c r="M109" s="31">
        <v>0</v>
      </c>
      <c r="N109" s="31">
        <v>0</v>
      </c>
      <c r="O109" s="30">
        <f t="shared" si="1"/>
        <v>51000</v>
      </c>
      <c r="P109" s="26">
        <v>6.38</v>
      </c>
    </row>
    <row r="110" spans="2:16" x14ac:dyDescent="0.35">
      <c r="B110" s="39" t="s">
        <v>2438</v>
      </c>
      <c r="C110" s="101" t="s">
        <v>2712</v>
      </c>
      <c r="D110" s="40">
        <v>44109</v>
      </c>
      <c r="E110" s="40">
        <v>44250</v>
      </c>
      <c r="F110" s="40">
        <v>46075</v>
      </c>
      <c r="G110" s="63" t="s">
        <v>6</v>
      </c>
      <c r="H110" s="38" t="s">
        <v>2437</v>
      </c>
      <c r="I110" s="39" t="s">
        <v>2480</v>
      </c>
      <c r="J110" s="38" t="s">
        <v>2572</v>
      </c>
      <c r="K110" s="38" t="s">
        <v>2586</v>
      </c>
      <c r="L110" s="31">
        <v>40000</v>
      </c>
      <c r="M110" s="31">
        <v>0</v>
      </c>
      <c r="N110" s="31">
        <v>13515.3</v>
      </c>
      <c r="O110" s="30">
        <f t="shared" si="1"/>
        <v>26484.7</v>
      </c>
      <c r="P110" s="26">
        <v>6.38</v>
      </c>
    </row>
    <row r="111" spans="2:16" x14ac:dyDescent="0.35">
      <c r="B111" s="39" t="s">
        <v>2674</v>
      </c>
      <c r="C111" s="101" t="s">
        <v>2709</v>
      </c>
      <c r="D111" s="40">
        <v>44175</v>
      </c>
      <c r="E111" s="40">
        <v>44256</v>
      </c>
      <c r="F111" s="40">
        <v>46081</v>
      </c>
      <c r="G111" s="63" t="s">
        <v>6</v>
      </c>
      <c r="H111" s="38" t="s">
        <v>2640</v>
      </c>
      <c r="I111" s="39" t="s">
        <v>2500</v>
      </c>
      <c r="J111" s="38" t="s">
        <v>4503</v>
      </c>
      <c r="K111" s="38" t="s">
        <v>2586</v>
      </c>
      <c r="L111" s="31">
        <v>250000</v>
      </c>
      <c r="M111" s="31">
        <v>0</v>
      </c>
      <c r="N111" s="31">
        <v>10472.14</v>
      </c>
      <c r="O111" s="30">
        <f t="shared" si="1"/>
        <v>239527.86</v>
      </c>
      <c r="P111" s="26">
        <v>3.56</v>
      </c>
    </row>
    <row r="112" spans="2:16" x14ac:dyDescent="0.35">
      <c r="B112" s="39" t="s">
        <v>2696</v>
      </c>
      <c r="C112" s="101" t="s">
        <v>2715</v>
      </c>
      <c r="D112" s="40">
        <v>44194</v>
      </c>
      <c r="E112" s="40">
        <v>44259</v>
      </c>
      <c r="F112" s="40">
        <v>46084</v>
      </c>
      <c r="G112" s="63" t="s">
        <v>6</v>
      </c>
      <c r="H112" s="38" t="s">
        <v>2651</v>
      </c>
      <c r="I112" s="39" t="s">
        <v>2495</v>
      </c>
      <c r="J112" s="38" t="s">
        <v>2705</v>
      </c>
      <c r="K112" s="38" t="s">
        <v>2583</v>
      </c>
      <c r="L112" s="31">
        <v>23000</v>
      </c>
      <c r="M112" s="31">
        <v>0</v>
      </c>
      <c r="N112" s="31">
        <v>0</v>
      </c>
      <c r="O112" s="30">
        <f t="shared" si="1"/>
        <v>23000</v>
      </c>
      <c r="P112" s="26">
        <v>1.02</v>
      </c>
    </row>
    <row r="113" spans="2:16" ht="43.5" x14ac:dyDescent="0.35">
      <c r="B113" s="39" t="s">
        <v>2666</v>
      </c>
      <c r="C113" s="101" t="s">
        <v>2707</v>
      </c>
      <c r="D113" s="40">
        <v>44175</v>
      </c>
      <c r="E113" s="40">
        <v>44267</v>
      </c>
      <c r="F113" s="40">
        <v>46092</v>
      </c>
      <c r="G113" s="63" t="s">
        <v>6</v>
      </c>
      <c r="H113" s="38" t="s">
        <v>2637</v>
      </c>
      <c r="I113" s="39" t="s">
        <v>2516</v>
      </c>
      <c r="J113" s="38" t="s">
        <v>4466</v>
      </c>
      <c r="K113" s="38" t="s">
        <v>2655</v>
      </c>
      <c r="L113" s="31">
        <v>6000000</v>
      </c>
      <c r="M113" s="31">
        <v>0</v>
      </c>
      <c r="N113" s="31">
        <v>0</v>
      </c>
      <c r="O113" s="30">
        <f t="shared" si="1"/>
        <v>6000000</v>
      </c>
      <c r="P113" s="26">
        <v>14.83</v>
      </c>
    </row>
    <row r="114" spans="2:16" x14ac:dyDescent="0.35">
      <c r="B114" s="39" t="s">
        <v>2659</v>
      </c>
      <c r="C114" s="101" t="s">
        <v>2836</v>
      </c>
      <c r="D114" s="40">
        <v>44175</v>
      </c>
      <c r="E114" s="40">
        <v>44270</v>
      </c>
      <c r="F114" s="40">
        <v>45365</v>
      </c>
      <c r="G114" s="63" t="s">
        <v>5683</v>
      </c>
      <c r="H114" s="38" t="s">
        <v>2657</v>
      </c>
      <c r="I114" s="39" t="s">
        <v>2476</v>
      </c>
      <c r="J114" s="38" t="s">
        <v>4501</v>
      </c>
      <c r="K114" s="38" t="s">
        <v>2586</v>
      </c>
      <c r="L114" s="31">
        <v>167000</v>
      </c>
      <c r="M114" s="31">
        <v>76000</v>
      </c>
      <c r="N114" s="31">
        <v>91000</v>
      </c>
      <c r="O114" s="30">
        <f t="shared" si="1"/>
        <v>0</v>
      </c>
      <c r="P114" s="26">
        <v>2.0699999999999998</v>
      </c>
    </row>
    <row r="115" spans="2:16" ht="29" x14ac:dyDescent="0.35">
      <c r="B115" s="39" t="s">
        <v>2660</v>
      </c>
      <c r="C115" s="101" t="s">
        <v>2837</v>
      </c>
      <c r="D115" s="40">
        <v>44175</v>
      </c>
      <c r="E115" s="40">
        <v>44270</v>
      </c>
      <c r="F115" s="40">
        <v>45365</v>
      </c>
      <c r="G115" s="63" t="s">
        <v>5683</v>
      </c>
      <c r="H115" s="38" t="s">
        <v>2657</v>
      </c>
      <c r="I115" s="39" t="s">
        <v>2476</v>
      </c>
      <c r="J115" s="38" t="s">
        <v>4501</v>
      </c>
      <c r="K115" s="38" t="s">
        <v>2583</v>
      </c>
      <c r="L115" s="31">
        <v>33000</v>
      </c>
      <c r="M115" s="31">
        <v>29000</v>
      </c>
      <c r="N115" s="31">
        <v>4000</v>
      </c>
      <c r="O115" s="30">
        <f t="shared" si="1"/>
        <v>0</v>
      </c>
      <c r="P115" s="26" t="s">
        <v>6798</v>
      </c>
    </row>
    <row r="116" spans="2:16" x14ac:dyDescent="0.35">
      <c r="B116" s="39" t="s">
        <v>2694</v>
      </c>
      <c r="C116" s="101" t="s">
        <v>2719</v>
      </c>
      <c r="D116" s="40">
        <v>44194</v>
      </c>
      <c r="E116" s="40">
        <v>44270</v>
      </c>
      <c r="F116" s="40">
        <v>46095</v>
      </c>
      <c r="G116" s="63" t="s">
        <v>6</v>
      </c>
      <c r="H116" s="38" t="s">
        <v>2649</v>
      </c>
      <c r="I116" s="39" t="s">
        <v>2520</v>
      </c>
      <c r="J116" s="38" t="s">
        <v>4507</v>
      </c>
      <c r="K116" s="38" t="s">
        <v>2583</v>
      </c>
      <c r="L116" s="31">
        <v>30000</v>
      </c>
      <c r="M116" s="31">
        <v>0</v>
      </c>
      <c r="N116" s="31">
        <f>17200+5900</f>
        <v>23100</v>
      </c>
      <c r="O116" s="30">
        <f t="shared" si="1"/>
        <v>6900</v>
      </c>
      <c r="P116" s="26">
        <v>4.2300000000000004</v>
      </c>
    </row>
    <row r="117" spans="2:16" x14ac:dyDescent="0.35">
      <c r="B117" s="39" t="s">
        <v>2689</v>
      </c>
      <c r="C117" s="101" t="s">
        <v>2668</v>
      </c>
      <c r="D117" s="40">
        <v>44194</v>
      </c>
      <c r="E117" s="40">
        <v>44274</v>
      </c>
      <c r="F117" s="40">
        <v>46099</v>
      </c>
      <c r="G117" s="63" t="s">
        <v>6</v>
      </c>
      <c r="H117" s="38" t="s">
        <v>2647</v>
      </c>
      <c r="I117" s="39" t="s">
        <v>2523</v>
      </c>
      <c r="J117" s="38" t="s">
        <v>4478</v>
      </c>
      <c r="K117" s="38" t="s">
        <v>2583</v>
      </c>
      <c r="L117" s="31">
        <v>279000</v>
      </c>
      <c r="M117" s="31">
        <v>0</v>
      </c>
      <c r="N117" s="31">
        <v>96600</v>
      </c>
      <c r="O117" s="30">
        <f t="shared" si="1"/>
        <v>182400</v>
      </c>
      <c r="P117" s="26">
        <v>6.86</v>
      </c>
    </row>
    <row r="118" spans="2:16" x14ac:dyDescent="0.35">
      <c r="B118" s="39" t="s">
        <v>2690</v>
      </c>
      <c r="C118" s="101" t="s">
        <v>2714</v>
      </c>
      <c r="D118" s="40">
        <v>44194</v>
      </c>
      <c r="E118" s="40">
        <v>44274</v>
      </c>
      <c r="F118" s="40">
        <v>46099</v>
      </c>
      <c r="G118" s="63" t="s">
        <v>6</v>
      </c>
      <c r="H118" s="38" t="s">
        <v>2647</v>
      </c>
      <c r="I118" s="39" t="s">
        <v>2523</v>
      </c>
      <c r="J118" s="38" t="s">
        <v>4478</v>
      </c>
      <c r="K118" s="38" t="s">
        <v>2585</v>
      </c>
      <c r="L118" s="31">
        <v>196000</v>
      </c>
      <c r="M118" s="31">
        <v>0</v>
      </c>
      <c r="N118" s="32">
        <v>183158.57</v>
      </c>
      <c r="O118" s="30">
        <f t="shared" si="1"/>
        <v>12841.429999999993</v>
      </c>
      <c r="P118" s="26">
        <v>6.86</v>
      </c>
    </row>
    <row r="119" spans="2:16" x14ac:dyDescent="0.35">
      <c r="B119" s="39" t="s">
        <v>2669</v>
      </c>
      <c r="C119" s="101" t="s">
        <v>2720</v>
      </c>
      <c r="D119" s="40">
        <v>44175</v>
      </c>
      <c r="E119" s="40">
        <v>44281</v>
      </c>
      <c r="F119" s="40">
        <v>46106</v>
      </c>
      <c r="G119" s="63" t="s">
        <v>6</v>
      </c>
      <c r="H119" s="38" t="s">
        <v>2633</v>
      </c>
      <c r="I119" s="39" t="s">
        <v>2642</v>
      </c>
      <c r="J119" s="38" t="s">
        <v>2700</v>
      </c>
      <c r="K119" s="38" t="s">
        <v>2586</v>
      </c>
      <c r="L119" s="31">
        <v>100000</v>
      </c>
      <c r="M119" s="31">
        <v>0</v>
      </c>
      <c r="N119" s="31">
        <v>81246.75</v>
      </c>
      <c r="O119" s="30">
        <f t="shared" si="1"/>
        <v>18753.25</v>
      </c>
      <c r="P119" s="26">
        <v>0.71</v>
      </c>
    </row>
    <row r="120" spans="2:16" ht="29" x14ac:dyDescent="0.35">
      <c r="B120" s="39" t="s">
        <v>2670</v>
      </c>
      <c r="C120" s="101" t="s">
        <v>2713</v>
      </c>
      <c r="D120" s="40">
        <v>44175</v>
      </c>
      <c r="E120" s="40">
        <v>44281</v>
      </c>
      <c r="F120" s="40">
        <v>46106</v>
      </c>
      <c r="G120" s="63" t="s">
        <v>6</v>
      </c>
      <c r="H120" s="38" t="s">
        <v>2638</v>
      </c>
      <c r="I120" s="39" t="s">
        <v>2497</v>
      </c>
      <c r="J120" s="38" t="s">
        <v>2701</v>
      </c>
      <c r="K120" s="38" t="s">
        <v>2583</v>
      </c>
      <c r="L120" s="31">
        <v>500000</v>
      </c>
      <c r="M120" s="31">
        <v>0</v>
      </c>
      <c r="N120" s="31">
        <f>346500</f>
        <v>346500</v>
      </c>
      <c r="O120" s="30">
        <f t="shared" si="1"/>
        <v>153500</v>
      </c>
      <c r="P120" s="26">
        <v>18.07</v>
      </c>
    </row>
    <row r="121" spans="2:16" x14ac:dyDescent="0.35">
      <c r="B121" s="39" t="s">
        <v>2691</v>
      </c>
      <c r="C121" s="101" t="s">
        <v>2740</v>
      </c>
      <c r="D121" s="40">
        <v>44194</v>
      </c>
      <c r="E121" s="40">
        <v>44281</v>
      </c>
      <c r="F121" s="40">
        <v>46471</v>
      </c>
      <c r="G121" s="63" t="s">
        <v>6</v>
      </c>
      <c r="H121" s="38" t="s">
        <v>2648</v>
      </c>
      <c r="I121" s="39" t="s">
        <v>2653</v>
      </c>
      <c r="J121" s="38" t="s">
        <v>2703</v>
      </c>
      <c r="K121" s="38" t="s">
        <v>2583</v>
      </c>
      <c r="L121" s="31">
        <v>58500</v>
      </c>
      <c r="M121" s="31">
        <v>0</v>
      </c>
      <c r="N121" s="31">
        <v>46800</v>
      </c>
      <c r="O121" s="30">
        <f t="shared" si="1"/>
        <v>11700</v>
      </c>
      <c r="P121" s="26">
        <v>78.25</v>
      </c>
    </row>
    <row r="122" spans="2:16" x14ac:dyDescent="0.35">
      <c r="B122" s="39" t="s">
        <v>2693</v>
      </c>
      <c r="C122" s="101" t="s">
        <v>2741</v>
      </c>
      <c r="D122" s="40">
        <v>44194</v>
      </c>
      <c r="E122" s="40">
        <v>44281</v>
      </c>
      <c r="F122" s="40">
        <v>46471</v>
      </c>
      <c r="G122" s="63" t="s">
        <v>6</v>
      </c>
      <c r="H122" s="38" t="s">
        <v>2648</v>
      </c>
      <c r="I122" s="39" t="s">
        <v>2653</v>
      </c>
      <c r="J122" s="38" t="s">
        <v>2703</v>
      </c>
      <c r="K122" s="38" t="s">
        <v>2586</v>
      </c>
      <c r="L122" s="31">
        <v>50000</v>
      </c>
      <c r="M122" s="31">
        <v>0</v>
      </c>
      <c r="N122" s="31">
        <v>31910.5</v>
      </c>
      <c r="O122" s="30">
        <f t="shared" si="1"/>
        <v>18089.5</v>
      </c>
      <c r="P122" s="26">
        <v>78.25</v>
      </c>
    </row>
    <row r="123" spans="2:16" x14ac:dyDescent="0.35">
      <c r="B123" s="39" t="s">
        <v>2675</v>
      </c>
      <c r="C123" s="101" t="s">
        <v>2736</v>
      </c>
      <c r="D123" s="40">
        <v>44175</v>
      </c>
      <c r="E123" s="40">
        <v>44291</v>
      </c>
      <c r="F123" s="40">
        <v>46116</v>
      </c>
      <c r="G123" s="63" t="s">
        <v>6</v>
      </c>
      <c r="H123" s="38" t="s">
        <v>2634</v>
      </c>
      <c r="I123" s="39" t="s">
        <v>2480</v>
      </c>
      <c r="J123" s="38" t="s">
        <v>2698</v>
      </c>
      <c r="K123" s="38" t="s">
        <v>2583</v>
      </c>
      <c r="L123" s="31">
        <v>144000</v>
      </c>
      <c r="M123" s="31">
        <v>0</v>
      </c>
      <c r="N123" s="31">
        <v>74000</v>
      </c>
      <c r="O123" s="30">
        <f t="shared" si="1"/>
        <v>70000</v>
      </c>
      <c r="P123" s="26">
        <v>4.16</v>
      </c>
    </row>
    <row r="124" spans="2:16" x14ac:dyDescent="0.35">
      <c r="B124" s="39" t="s">
        <v>2676</v>
      </c>
      <c r="C124" s="101" t="s">
        <v>2737</v>
      </c>
      <c r="D124" s="40">
        <v>44175</v>
      </c>
      <c r="E124" s="40">
        <v>44292</v>
      </c>
      <c r="F124" s="40">
        <v>46117</v>
      </c>
      <c r="G124" s="63" t="s">
        <v>6</v>
      </c>
      <c r="H124" s="38" t="s">
        <v>2634</v>
      </c>
      <c r="I124" s="39" t="s">
        <v>2480</v>
      </c>
      <c r="J124" s="38" t="s">
        <v>2698</v>
      </c>
      <c r="K124" s="38" t="s">
        <v>2586</v>
      </c>
      <c r="L124" s="31">
        <v>280000</v>
      </c>
      <c r="M124" s="31">
        <v>0</v>
      </c>
      <c r="N124" s="31">
        <v>196062.94</v>
      </c>
      <c r="O124" s="30">
        <f t="shared" si="1"/>
        <v>83937.06</v>
      </c>
      <c r="P124" s="26">
        <v>4.16</v>
      </c>
    </row>
    <row r="125" spans="2:16" x14ac:dyDescent="0.35">
      <c r="B125" s="39" t="s">
        <v>2415</v>
      </c>
      <c r="C125" s="101" t="s">
        <v>2733</v>
      </c>
      <c r="D125" s="40">
        <v>44083</v>
      </c>
      <c r="E125" s="40">
        <v>44294</v>
      </c>
      <c r="F125" s="40">
        <v>46119</v>
      </c>
      <c r="G125" s="63" t="s">
        <v>6</v>
      </c>
      <c r="H125" s="38" t="s">
        <v>2511</v>
      </c>
      <c r="I125" s="39" t="s">
        <v>2508</v>
      </c>
      <c r="J125" s="38" t="s">
        <v>4500</v>
      </c>
      <c r="K125" s="38" t="s">
        <v>2583</v>
      </c>
      <c r="L125" s="31">
        <v>178000</v>
      </c>
      <c r="M125" s="31">
        <v>0</v>
      </c>
      <c r="N125" s="31">
        <v>0</v>
      </c>
      <c r="O125" s="30">
        <f t="shared" si="1"/>
        <v>178000</v>
      </c>
      <c r="P125" s="26">
        <v>0.31</v>
      </c>
    </row>
    <row r="126" spans="2:16" x14ac:dyDescent="0.35">
      <c r="B126" s="39" t="s">
        <v>2414</v>
      </c>
      <c r="C126" s="101" t="s">
        <v>2734</v>
      </c>
      <c r="D126" s="40">
        <v>44083</v>
      </c>
      <c r="E126" s="40">
        <v>44294</v>
      </c>
      <c r="F126" s="40">
        <v>46119</v>
      </c>
      <c r="G126" s="63" t="s">
        <v>6</v>
      </c>
      <c r="H126" s="38" t="s">
        <v>2511</v>
      </c>
      <c r="I126" s="39" t="s">
        <v>2508</v>
      </c>
      <c r="J126" s="38" t="s">
        <v>4500</v>
      </c>
      <c r="K126" s="38" t="s">
        <v>2585</v>
      </c>
      <c r="L126" s="31">
        <v>200000</v>
      </c>
      <c r="M126" s="31">
        <v>0</v>
      </c>
      <c r="N126" s="31">
        <f>198808.76+1191.24</f>
        <v>200000</v>
      </c>
      <c r="O126" s="30">
        <f t="shared" si="1"/>
        <v>0</v>
      </c>
      <c r="P126" s="26">
        <v>0.31</v>
      </c>
    </row>
    <row r="127" spans="2:16" x14ac:dyDescent="0.35">
      <c r="B127" s="39" t="s">
        <v>5681</v>
      </c>
      <c r="C127" s="101" t="s">
        <v>5682</v>
      </c>
      <c r="D127" s="40">
        <v>44175</v>
      </c>
      <c r="E127" s="40">
        <v>44294</v>
      </c>
      <c r="F127" s="40">
        <v>46120</v>
      </c>
      <c r="G127" s="41" t="s">
        <v>6</v>
      </c>
      <c r="H127" s="38" t="s">
        <v>5684</v>
      </c>
      <c r="I127" s="39" t="s">
        <v>2484</v>
      </c>
      <c r="J127" s="38" t="s">
        <v>2698</v>
      </c>
      <c r="K127" s="38" t="s">
        <v>2586</v>
      </c>
      <c r="L127" s="31">
        <v>33705</v>
      </c>
      <c r="M127" s="31">
        <v>0</v>
      </c>
      <c r="N127" s="31">
        <v>24902</v>
      </c>
      <c r="O127" s="30">
        <f t="shared" si="1"/>
        <v>8803</v>
      </c>
      <c r="P127" s="26">
        <v>4.43</v>
      </c>
    </row>
    <row r="128" spans="2:16" ht="29" x14ac:dyDescent="0.35">
      <c r="B128" s="39" t="s">
        <v>2667</v>
      </c>
      <c r="C128" s="101" t="s">
        <v>2735</v>
      </c>
      <c r="D128" s="40">
        <v>44175</v>
      </c>
      <c r="E128" s="40">
        <v>44299</v>
      </c>
      <c r="F128" s="40">
        <v>46124</v>
      </c>
      <c r="G128" s="63" t="s">
        <v>6</v>
      </c>
      <c r="H128" s="38" t="s">
        <v>2632</v>
      </c>
      <c r="I128" s="39" t="s">
        <v>2522</v>
      </c>
      <c r="J128" s="38" t="s">
        <v>2575</v>
      </c>
      <c r="K128" s="38" t="s">
        <v>2583</v>
      </c>
      <c r="L128" s="31">
        <v>26000</v>
      </c>
      <c r="M128" s="31">
        <v>0</v>
      </c>
      <c r="N128" s="31">
        <v>18000</v>
      </c>
      <c r="O128" s="30">
        <f t="shared" si="1"/>
        <v>8000</v>
      </c>
      <c r="P128" s="26">
        <v>6.86</v>
      </c>
    </row>
    <row r="129" spans="2:16" ht="29" x14ac:dyDescent="0.35">
      <c r="B129" s="39" t="s">
        <v>2859</v>
      </c>
      <c r="C129" s="101" t="s">
        <v>2832</v>
      </c>
      <c r="D129" s="40">
        <v>43774</v>
      </c>
      <c r="E129" s="40">
        <v>44301</v>
      </c>
      <c r="F129" s="40">
        <v>46126</v>
      </c>
      <c r="G129" s="63" t="s">
        <v>6</v>
      </c>
      <c r="H129" s="38" t="s">
        <v>2270</v>
      </c>
      <c r="I129" s="39" t="s">
        <v>2474</v>
      </c>
      <c r="J129" s="38" t="s">
        <v>2532</v>
      </c>
      <c r="K129" s="38" t="s">
        <v>2583</v>
      </c>
      <c r="L129" s="31">
        <v>36000</v>
      </c>
      <c r="M129" s="31">
        <v>0</v>
      </c>
      <c r="N129" s="31">
        <f>14400+7200+7200</f>
        <v>28800</v>
      </c>
      <c r="O129" s="30">
        <f t="shared" si="1"/>
        <v>7200</v>
      </c>
      <c r="P129" s="26">
        <v>5.8</v>
      </c>
    </row>
    <row r="130" spans="2:16" ht="29" x14ac:dyDescent="0.35">
      <c r="B130" s="39" t="s">
        <v>2860</v>
      </c>
      <c r="C130" s="101" t="s">
        <v>2833</v>
      </c>
      <c r="D130" s="40">
        <v>43774</v>
      </c>
      <c r="E130" s="40">
        <v>44301</v>
      </c>
      <c r="F130" s="40">
        <v>46126</v>
      </c>
      <c r="G130" s="63" t="s">
        <v>6</v>
      </c>
      <c r="H130" s="38" t="s">
        <v>2270</v>
      </c>
      <c r="I130" s="39" t="s">
        <v>2474</v>
      </c>
      <c r="J130" s="38" t="s">
        <v>2532</v>
      </c>
      <c r="K130" s="38" t="s">
        <v>2586</v>
      </c>
      <c r="L130" s="31">
        <v>200000</v>
      </c>
      <c r="M130" s="31">
        <v>0</v>
      </c>
      <c r="N130" s="31">
        <v>140541.70000000001</v>
      </c>
      <c r="O130" s="30">
        <f t="shared" si="1"/>
        <v>59458.299999999988</v>
      </c>
      <c r="P130" s="26">
        <v>5.8</v>
      </c>
    </row>
    <row r="131" spans="2:16" ht="29" x14ac:dyDescent="0.35">
      <c r="B131" s="35" t="s">
        <v>1886</v>
      </c>
      <c r="C131" s="80" t="s">
        <v>2857</v>
      </c>
      <c r="D131" s="40">
        <v>42992</v>
      </c>
      <c r="E131" s="37">
        <v>44306</v>
      </c>
      <c r="F131" s="37">
        <v>45401</v>
      </c>
      <c r="G131" s="64" t="s">
        <v>6</v>
      </c>
      <c r="H131" s="43" t="s">
        <v>2858</v>
      </c>
      <c r="I131" s="39" t="s">
        <v>2816</v>
      </c>
      <c r="J131" s="38" t="s">
        <v>4464</v>
      </c>
      <c r="K131" s="43" t="s">
        <v>5557</v>
      </c>
      <c r="L131" s="30">
        <v>100000</v>
      </c>
      <c r="M131" s="30">
        <v>0</v>
      </c>
      <c r="N131" s="30">
        <f>50000+869.67</f>
        <v>50869.67</v>
      </c>
      <c r="O131" s="30">
        <f t="shared" si="1"/>
        <v>49130.33</v>
      </c>
      <c r="P131" s="44" t="s">
        <v>2874</v>
      </c>
    </row>
    <row r="132" spans="2:16" ht="29" x14ac:dyDescent="0.35">
      <c r="B132" s="35" t="s">
        <v>2853</v>
      </c>
      <c r="C132" s="80" t="s">
        <v>2854</v>
      </c>
      <c r="D132" s="36">
        <v>44013</v>
      </c>
      <c r="E132" s="36">
        <v>44313</v>
      </c>
      <c r="F132" s="36">
        <v>46138</v>
      </c>
      <c r="G132" s="64" t="s">
        <v>6</v>
      </c>
      <c r="H132" s="43" t="s">
        <v>2512</v>
      </c>
      <c r="I132" s="39" t="s">
        <v>2483</v>
      </c>
      <c r="J132" s="38" t="s">
        <v>4492</v>
      </c>
      <c r="K132" s="38" t="s">
        <v>2584</v>
      </c>
      <c r="L132" s="30">
        <v>325000</v>
      </c>
      <c r="M132" s="30">
        <v>0</v>
      </c>
      <c r="N132" s="30">
        <f>213000+65000</f>
        <v>278000</v>
      </c>
      <c r="O132" s="30">
        <f t="shared" si="1"/>
        <v>47000</v>
      </c>
      <c r="P132" s="26">
        <v>11.59</v>
      </c>
    </row>
    <row r="133" spans="2:16" x14ac:dyDescent="0.35">
      <c r="B133" s="39" t="s">
        <v>2677</v>
      </c>
      <c r="C133" s="101" t="s">
        <v>2738</v>
      </c>
      <c r="D133" s="40">
        <v>44175</v>
      </c>
      <c r="E133" s="40">
        <v>44313</v>
      </c>
      <c r="F133" s="40">
        <v>45408</v>
      </c>
      <c r="G133" s="63" t="s">
        <v>6</v>
      </c>
      <c r="H133" s="38" t="s">
        <v>2635</v>
      </c>
      <c r="I133" s="39" t="s">
        <v>2505</v>
      </c>
      <c r="J133" s="38" t="s">
        <v>4504</v>
      </c>
      <c r="K133" s="38" t="s">
        <v>2583</v>
      </c>
      <c r="L133" s="31">
        <v>12500</v>
      </c>
      <c r="M133" s="31">
        <v>0</v>
      </c>
      <c r="N133" s="31">
        <v>6500</v>
      </c>
      <c r="O133" s="30">
        <f t="shared" si="1"/>
        <v>6000</v>
      </c>
      <c r="P133" s="26">
        <v>3.16</v>
      </c>
    </row>
    <row r="134" spans="2:16" x14ac:dyDescent="0.35">
      <c r="B134" s="39" t="s">
        <v>2686</v>
      </c>
      <c r="C134" s="101" t="s">
        <v>2739</v>
      </c>
      <c r="D134" s="40">
        <v>44194</v>
      </c>
      <c r="E134" s="40">
        <v>44330</v>
      </c>
      <c r="F134" s="40">
        <v>46155</v>
      </c>
      <c r="G134" s="63" t="s">
        <v>6</v>
      </c>
      <c r="H134" s="38" t="s">
        <v>2641</v>
      </c>
      <c r="I134" s="39" t="s">
        <v>2543</v>
      </c>
      <c r="J134" s="38" t="s">
        <v>2702</v>
      </c>
      <c r="K134" s="38" t="s">
        <v>2586</v>
      </c>
      <c r="L134" s="31">
        <v>45000</v>
      </c>
      <c r="M134" s="31">
        <v>0</v>
      </c>
      <c r="N134" s="31">
        <v>34905</v>
      </c>
      <c r="O134" s="30">
        <f t="shared" ref="O134:O196" si="3">L134-M134-N134</f>
        <v>10095</v>
      </c>
      <c r="P134" s="26">
        <v>2.4</v>
      </c>
    </row>
    <row r="135" spans="2:16" x14ac:dyDescent="0.35">
      <c r="B135" s="39" t="s">
        <v>2678</v>
      </c>
      <c r="C135" s="102" t="s">
        <v>2838</v>
      </c>
      <c r="D135" s="40">
        <v>44175</v>
      </c>
      <c r="E135" s="40">
        <v>44337</v>
      </c>
      <c r="F135" s="40">
        <v>45797</v>
      </c>
      <c r="G135" s="63" t="s">
        <v>6</v>
      </c>
      <c r="H135" s="38" t="s">
        <v>2639</v>
      </c>
      <c r="I135" s="39" t="s">
        <v>2473</v>
      </c>
      <c r="J135" s="38" t="s">
        <v>4505</v>
      </c>
      <c r="K135" s="38" t="s">
        <v>2583</v>
      </c>
      <c r="L135" s="31">
        <v>10000</v>
      </c>
      <c r="M135" s="31">
        <v>0</v>
      </c>
      <c r="N135" s="31">
        <v>9000</v>
      </c>
      <c r="O135" s="30">
        <f t="shared" si="3"/>
        <v>1000</v>
      </c>
      <c r="P135" s="26">
        <v>26.3</v>
      </c>
    </row>
    <row r="136" spans="2:16" ht="29" x14ac:dyDescent="0.35">
      <c r="B136" s="39" t="s">
        <v>2671</v>
      </c>
      <c r="C136" s="101" t="s">
        <v>2885</v>
      </c>
      <c r="D136" s="40">
        <v>44175</v>
      </c>
      <c r="E136" s="40">
        <v>44361</v>
      </c>
      <c r="F136" s="40">
        <v>46186</v>
      </c>
      <c r="G136" s="63" t="s">
        <v>6</v>
      </c>
      <c r="H136" s="38" t="s">
        <v>2656</v>
      </c>
      <c r="I136" s="39" t="s">
        <v>2541</v>
      </c>
      <c r="J136" s="38" t="s">
        <v>4502</v>
      </c>
      <c r="K136" s="38" t="s">
        <v>2583</v>
      </c>
      <c r="L136" s="31">
        <v>545000</v>
      </c>
      <c r="M136" s="31">
        <v>0</v>
      </c>
      <c r="N136" s="31">
        <v>423000</v>
      </c>
      <c r="O136" s="30">
        <f t="shared" si="3"/>
        <v>122000</v>
      </c>
      <c r="P136" s="26">
        <v>10.029999999999999</v>
      </c>
    </row>
    <row r="137" spans="2:16" ht="29" x14ac:dyDescent="0.35">
      <c r="B137" s="39" t="s">
        <v>3441</v>
      </c>
      <c r="C137" s="80" t="s">
        <v>3678</v>
      </c>
      <c r="D137" s="40">
        <v>44917</v>
      </c>
      <c r="E137" s="36">
        <v>44378</v>
      </c>
      <c r="F137" s="36">
        <v>46109</v>
      </c>
      <c r="G137" s="64" t="s">
        <v>6</v>
      </c>
      <c r="H137" s="38" t="s">
        <v>3448</v>
      </c>
      <c r="I137" s="35" t="s">
        <v>2493</v>
      </c>
      <c r="J137" s="38" t="s">
        <v>4601</v>
      </c>
      <c r="K137" s="38" t="s">
        <v>2583</v>
      </c>
      <c r="L137" s="45">
        <v>27000</v>
      </c>
      <c r="M137" s="30">
        <v>0</v>
      </c>
      <c r="N137" s="30">
        <v>16000</v>
      </c>
      <c r="O137" s="30">
        <f t="shared" si="3"/>
        <v>11000</v>
      </c>
      <c r="P137" s="44">
        <v>1.2</v>
      </c>
    </row>
    <row r="138" spans="2:16" x14ac:dyDescent="0.35">
      <c r="B138" s="39" t="s">
        <v>2745</v>
      </c>
      <c r="C138" s="101" t="s">
        <v>2842</v>
      </c>
      <c r="D138" s="40">
        <v>44342</v>
      </c>
      <c r="E138" s="40">
        <v>44391</v>
      </c>
      <c r="F138" s="40">
        <v>46216</v>
      </c>
      <c r="G138" s="63" t="s">
        <v>6</v>
      </c>
      <c r="H138" s="38" t="s">
        <v>2770</v>
      </c>
      <c r="I138" s="39" t="s">
        <v>2484</v>
      </c>
      <c r="J138" s="38" t="s">
        <v>2549</v>
      </c>
      <c r="K138" s="38" t="s">
        <v>2583</v>
      </c>
      <c r="L138" s="31">
        <v>31000</v>
      </c>
      <c r="M138" s="31">
        <v>0</v>
      </c>
      <c r="N138" s="31">
        <f>8800+4800</f>
        <v>13600</v>
      </c>
      <c r="O138" s="30">
        <f t="shared" si="3"/>
        <v>17400</v>
      </c>
      <c r="P138" s="26">
        <v>5.92</v>
      </c>
    </row>
    <row r="139" spans="2:16" x14ac:dyDescent="0.35">
      <c r="B139" s="39" t="s">
        <v>2746</v>
      </c>
      <c r="C139" s="101" t="s">
        <v>2843</v>
      </c>
      <c r="D139" s="40">
        <v>44342</v>
      </c>
      <c r="E139" s="40">
        <v>44391</v>
      </c>
      <c r="F139" s="40">
        <v>46216</v>
      </c>
      <c r="G139" s="63" t="s">
        <v>6</v>
      </c>
      <c r="H139" s="38" t="s">
        <v>2770</v>
      </c>
      <c r="I139" s="39" t="s">
        <v>2484</v>
      </c>
      <c r="J139" s="38" t="s">
        <v>2549</v>
      </c>
      <c r="K139" s="38" t="s">
        <v>2586</v>
      </c>
      <c r="L139" s="31">
        <v>14181</v>
      </c>
      <c r="M139" s="31">
        <v>0</v>
      </c>
      <c r="N139" s="31">
        <f>14181</f>
        <v>14181</v>
      </c>
      <c r="O139" s="30">
        <f t="shared" si="3"/>
        <v>0</v>
      </c>
      <c r="P139" s="26">
        <v>5.92</v>
      </c>
    </row>
    <row r="140" spans="2:16" x14ac:dyDescent="0.35">
      <c r="B140" s="39" t="s">
        <v>2754</v>
      </c>
      <c r="C140" s="101" t="s">
        <v>2844</v>
      </c>
      <c r="D140" s="40">
        <v>44348</v>
      </c>
      <c r="E140" s="40">
        <v>44392</v>
      </c>
      <c r="F140" s="40">
        <v>46217</v>
      </c>
      <c r="G140" s="63" t="s">
        <v>6</v>
      </c>
      <c r="H140" s="38" t="s">
        <v>2773</v>
      </c>
      <c r="I140" s="39" t="s">
        <v>2505</v>
      </c>
      <c r="J140" s="38" t="s">
        <v>2781</v>
      </c>
      <c r="K140" s="38" t="s">
        <v>2583</v>
      </c>
      <c r="L140" s="31">
        <v>9000</v>
      </c>
      <c r="M140" s="31">
        <v>0</v>
      </c>
      <c r="N140" s="31">
        <v>0</v>
      </c>
      <c r="O140" s="30">
        <f t="shared" si="3"/>
        <v>9000</v>
      </c>
      <c r="P140" s="26">
        <v>11.09</v>
      </c>
    </row>
    <row r="141" spans="2:16" x14ac:dyDescent="0.35">
      <c r="B141" s="39" t="s">
        <v>2755</v>
      </c>
      <c r="C141" s="101" t="s">
        <v>2845</v>
      </c>
      <c r="D141" s="40">
        <v>44348</v>
      </c>
      <c r="E141" s="40">
        <v>44392</v>
      </c>
      <c r="F141" s="40">
        <v>46217</v>
      </c>
      <c r="G141" s="63" t="s">
        <v>6</v>
      </c>
      <c r="H141" s="38" t="s">
        <v>2773</v>
      </c>
      <c r="I141" s="39" t="s">
        <v>2505</v>
      </c>
      <c r="J141" s="38" t="s">
        <v>2781</v>
      </c>
      <c r="K141" s="38" t="s">
        <v>2586</v>
      </c>
      <c r="L141" s="31">
        <v>247817</v>
      </c>
      <c r="M141" s="31">
        <v>0</v>
      </c>
      <c r="N141" s="42">
        <v>207854.39</v>
      </c>
      <c r="O141" s="30">
        <f t="shared" si="3"/>
        <v>39962.609999999986</v>
      </c>
      <c r="P141" s="26">
        <v>11.09</v>
      </c>
    </row>
    <row r="142" spans="2:16" x14ac:dyDescent="0.35">
      <c r="B142" s="39" t="s">
        <v>2861</v>
      </c>
      <c r="C142" s="101" t="s">
        <v>3087</v>
      </c>
      <c r="D142" s="40">
        <v>43843</v>
      </c>
      <c r="E142" s="46">
        <v>44397</v>
      </c>
      <c r="F142" s="46">
        <v>46222</v>
      </c>
      <c r="G142" s="63" t="s">
        <v>5683</v>
      </c>
      <c r="H142" s="38" t="s">
        <v>2316</v>
      </c>
      <c r="I142" s="39" t="s">
        <v>2494</v>
      </c>
      <c r="J142" s="38" t="s">
        <v>4490</v>
      </c>
      <c r="K142" s="38" t="s">
        <v>2586</v>
      </c>
      <c r="L142" s="31">
        <v>20000</v>
      </c>
      <c r="M142" s="31">
        <v>7683.78</v>
      </c>
      <c r="N142" s="31">
        <v>12316.220000000001</v>
      </c>
      <c r="O142" s="30">
        <f t="shared" si="3"/>
        <v>0</v>
      </c>
      <c r="P142" s="27" t="s">
        <v>6522</v>
      </c>
    </row>
    <row r="143" spans="2:16" ht="29" x14ac:dyDescent="0.35">
      <c r="B143" s="39" t="s">
        <v>2788</v>
      </c>
      <c r="C143" s="80" t="s">
        <v>2849</v>
      </c>
      <c r="D143" s="40">
        <v>43473</v>
      </c>
      <c r="E143" s="36">
        <v>44420</v>
      </c>
      <c r="F143" s="36">
        <v>45515</v>
      </c>
      <c r="G143" s="64" t="s">
        <v>5683</v>
      </c>
      <c r="H143" s="38" t="s">
        <v>484</v>
      </c>
      <c r="I143" s="39" t="s">
        <v>2480</v>
      </c>
      <c r="J143" s="38" t="s">
        <v>4477</v>
      </c>
      <c r="K143" s="38" t="s">
        <v>2583</v>
      </c>
      <c r="L143" s="45">
        <v>162500</v>
      </c>
      <c r="M143" s="30">
        <v>162500</v>
      </c>
      <c r="N143" s="30">
        <v>0</v>
      </c>
      <c r="O143" s="30">
        <f t="shared" si="3"/>
        <v>0</v>
      </c>
      <c r="P143" s="26" t="s">
        <v>6800</v>
      </c>
    </row>
    <row r="144" spans="2:16" ht="29" x14ac:dyDescent="0.35">
      <c r="B144" s="39" t="s">
        <v>2789</v>
      </c>
      <c r="C144" s="80" t="s">
        <v>2850</v>
      </c>
      <c r="D144" s="40">
        <v>43473</v>
      </c>
      <c r="E144" s="36">
        <v>44420</v>
      </c>
      <c r="F144" s="36">
        <v>45515</v>
      </c>
      <c r="G144" s="64" t="s">
        <v>5683</v>
      </c>
      <c r="H144" s="38" t="s">
        <v>484</v>
      </c>
      <c r="I144" s="39" t="s">
        <v>2480</v>
      </c>
      <c r="J144" s="38" t="s">
        <v>4477</v>
      </c>
      <c r="K144" s="38" t="s">
        <v>2586</v>
      </c>
      <c r="L144" s="45">
        <v>100000</v>
      </c>
      <c r="M144" s="30">
        <v>100000</v>
      </c>
      <c r="N144" s="30">
        <v>0</v>
      </c>
      <c r="O144" s="30">
        <f t="shared" si="3"/>
        <v>0</v>
      </c>
      <c r="P144" s="26" t="s">
        <v>6800</v>
      </c>
    </row>
    <row r="145" spans="2:16" x14ac:dyDescent="0.35">
      <c r="B145" s="39" t="s">
        <v>2744</v>
      </c>
      <c r="C145" s="103" t="s">
        <v>2841</v>
      </c>
      <c r="D145" s="40">
        <v>44342</v>
      </c>
      <c r="E145" s="40">
        <v>44421</v>
      </c>
      <c r="F145" s="40">
        <v>46246</v>
      </c>
      <c r="G145" s="63" t="s">
        <v>6</v>
      </c>
      <c r="H145" s="38" t="s">
        <v>2769</v>
      </c>
      <c r="I145" s="39" t="s">
        <v>2480</v>
      </c>
      <c r="J145" s="38" t="s">
        <v>2549</v>
      </c>
      <c r="K145" s="38" t="s">
        <v>2586</v>
      </c>
      <c r="L145" s="31">
        <v>42935</v>
      </c>
      <c r="M145" s="31">
        <v>0</v>
      </c>
      <c r="N145" s="31">
        <v>38275</v>
      </c>
      <c r="O145" s="30">
        <f t="shared" si="3"/>
        <v>4660</v>
      </c>
      <c r="P145" s="26">
        <v>1.1399999999999999</v>
      </c>
    </row>
    <row r="146" spans="2:16" ht="29" x14ac:dyDescent="0.35">
      <c r="B146" s="39" t="s">
        <v>2742</v>
      </c>
      <c r="C146" s="101" t="s">
        <v>2839</v>
      </c>
      <c r="D146" s="40">
        <v>44309</v>
      </c>
      <c r="E146" s="40">
        <v>44426</v>
      </c>
      <c r="F146" s="40">
        <v>45521</v>
      </c>
      <c r="G146" s="63" t="s">
        <v>5683</v>
      </c>
      <c r="H146" s="38" t="s">
        <v>2768</v>
      </c>
      <c r="I146" s="39" t="s">
        <v>2782</v>
      </c>
      <c r="J146" s="38" t="s">
        <v>4508</v>
      </c>
      <c r="K146" s="38" t="s">
        <v>2583</v>
      </c>
      <c r="L146" s="31">
        <v>8000</v>
      </c>
      <c r="M146" s="31">
        <v>8000</v>
      </c>
      <c r="N146" s="31">
        <v>0</v>
      </c>
      <c r="O146" s="30">
        <f t="shared" si="3"/>
        <v>0</v>
      </c>
      <c r="P146" s="26" t="s">
        <v>6801</v>
      </c>
    </row>
    <row r="147" spans="2:16" ht="29" x14ac:dyDescent="0.35">
      <c r="B147" s="39" t="s">
        <v>2743</v>
      </c>
      <c r="C147" s="101" t="s">
        <v>2840</v>
      </c>
      <c r="D147" s="40">
        <v>44309</v>
      </c>
      <c r="E147" s="40">
        <v>44426</v>
      </c>
      <c r="F147" s="40">
        <v>46251</v>
      </c>
      <c r="G147" s="63" t="s">
        <v>6</v>
      </c>
      <c r="H147" s="38" t="s">
        <v>2768</v>
      </c>
      <c r="I147" s="39" t="s">
        <v>2782</v>
      </c>
      <c r="J147" s="38" t="s">
        <v>4508</v>
      </c>
      <c r="K147" s="38" t="s">
        <v>2586</v>
      </c>
      <c r="L147" s="31">
        <v>37500</v>
      </c>
      <c r="M147" s="31">
        <v>0</v>
      </c>
      <c r="N147" s="31">
        <v>32702.67</v>
      </c>
      <c r="O147" s="30">
        <f t="shared" si="3"/>
        <v>4797.3300000000017</v>
      </c>
      <c r="P147" s="26">
        <v>5.18</v>
      </c>
    </row>
    <row r="148" spans="2:16" x14ac:dyDescent="0.35">
      <c r="B148" s="35" t="s">
        <v>1951</v>
      </c>
      <c r="C148" s="80" t="s">
        <v>2975</v>
      </c>
      <c r="D148" s="36">
        <v>43404</v>
      </c>
      <c r="E148" s="36">
        <v>44438</v>
      </c>
      <c r="F148" s="36">
        <v>46263</v>
      </c>
      <c r="G148" s="64" t="s">
        <v>6</v>
      </c>
      <c r="H148" s="43" t="s">
        <v>2976</v>
      </c>
      <c r="I148" s="39" t="s">
        <v>2479</v>
      </c>
      <c r="J148" s="38" t="s">
        <v>4473</v>
      </c>
      <c r="K148" s="38" t="s">
        <v>3092</v>
      </c>
      <c r="L148" s="30">
        <v>276000</v>
      </c>
      <c r="M148" s="30">
        <v>0</v>
      </c>
      <c r="N148" s="30">
        <v>0</v>
      </c>
      <c r="O148" s="30">
        <f t="shared" si="3"/>
        <v>276000</v>
      </c>
      <c r="P148" s="44" t="s">
        <v>2874</v>
      </c>
    </row>
    <row r="149" spans="2:16" x14ac:dyDescent="0.35">
      <c r="B149" s="39" t="s">
        <v>2757</v>
      </c>
      <c r="C149" s="101" t="s">
        <v>2846</v>
      </c>
      <c r="D149" s="40">
        <v>44354</v>
      </c>
      <c r="E149" s="40">
        <v>44438</v>
      </c>
      <c r="F149" s="40">
        <v>46263</v>
      </c>
      <c r="G149" s="63" t="s">
        <v>6</v>
      </c>
      <c r="H149" s="38" t="s">
        <v>1402</v>
      </c>
      <c r="I149" s="39" t="s">
        <v>2488</v>
      </c>
      <c r="J149" s="38" t="s">
        <v>2549</v>
      </c>
      <c r="K149" s="38" t="s">
        <v>2583</v>
      </c>
      <c r="L149" s="31">
        <v>16500</v>
      </c>
      <c r="M149" s="31">
        <v>0</v>
      </c>
      <c r="N149" s="31">
        <v>9000</v>
      </c>
      <c r="O149" s="30">
        <f t="shared" si="3"/>
        <v>7500</v>
      </c>
      <c r="P149" s="26">
        <v>3.57</v>
      </c>
    </row>
    <row r="150" spans="2:16" x14ac:dyDescent="0.35">
      <c r="B150" s="39" t="s">
        <v>2758</v>
      </c>
      <c r="C150" s="101" t="s">
        <v>2847</v>
      </c>
      <c r="D150" s="40">
        <v>44354</v>
      </c>
      <c r="E150" s="40">
        <v>44438</v>
      </c>
      <c r="F150" s="40">
        <v>46263</v>
      </c>
      <c r="G150" s="63" t="s">
        <v>6</v>
      </c>
      <c r="H150" s="38" t="s">
        <v>1402</v>
      </c>
      <c r="I150" s="39" t="s">
        <v>2488</v>
      </c>
      <c r="J150" s="38" t="s">
        <v>2549</v>
      </c>
      <c r="K150" s="38" t="s">
        <v>2586</v>
      </c>
      <c r="L150" s="31">
        <v>58750</v>
      </c>
      <c r="M150" s="31">
        <v>0</v>
      </c>
      <c r="N150" s="42">
        <v>12050</v>
      </c>
      <c r="O150" s="30">
        <f t="shared" si="3"/>
        <v>46700</v>
      </c>
      <c r="P150" s="26">
        <v>3.57</v>
      </c>
    </row>
    <row r="151" spans="2:16" x14ac:dyDescent="0.35">
      <c r="B151" s="39" t="s">
        <v>2759</v>
      </c>
      <c r="C151" s="101" t="s">
        <v>2848</v>
      </c>
      <c r="D151" s="40">
        <v>44354</v>
      </c>
      <c r="E151" s="40">
        <v>44442</v>
      </c>
      <c r="F151" s="40">
        <v>46267</v>
      </c>
      <c r="G151" s="63" t="s">
        <v>6</v>
      </c>
      <c r="H151" s="38" t="s">
        <v>2775</v>
      </c>
      <c r="I151" s="39" t="s">
        <v>2504</v>
      </c>
      <c r="J151" s="38" t="s">
        <v>2549</v>
      </c>
      <c r="K151" s="38" t="s">
        <v>2583</v>
      </c>
      <c r="L151" s="31">
        <v>12000</v>
      </c>
      <c r="M151" s="31">
        <v>0</v>
      </c>
      <c r="N151" s="31">
        <v>10800</v>
      </c>
      <c r="O151" s="30">
        <f t="shared" si="3"/>
        <v>1200</v>
      </c>
      <c r="P151" s="26">
        <v>7.35</v>
      </c>
    </row>
    <row r="152" spans="2:16" ht="29" x14ac:dyDescent="0.35">
      <c r="B152" s="35" t="s">
        <v>1886</v>
      </c>
      <c r="C152" s="80" t="s">
        <v>2932</v>
      </c>
      <c r="D152" s="40">
        <v>42992</v>
      </c>
      <c r="E152" s="37">
        <v>44452</v>
      </c>
      <c r="F152" s="37">
        <v>45547</v>
      </c>
      <c r="G152" s="64" t="s">
        <v>6</v>
      </c>
      <c r="H152" s="43" t="s">
        <v>2933</v>
      </c>
      <c r="I152" s="35" t="s">
        <v>2480</v>
      </c>
      <c r="J152" s="43" t="s">
        <v>4463</v>
      </c>
      <c r="K152" s="43" t="s">
        <v>5557</v>
      </c>
      <c r="L152" s="30">
        <v>50000</v>
      </c>
      <c r="M152" s="30">
        <v>0</v>
      </c>
      <c r="N152" s="30">
        <v>25000</v>
      </c>
      <c r="O152" s="30">
        <f t="shared" si="3"/>
        <v>25000</v>
      </c>
      <c r="P152" s="44" t="s">
        <v>2874</v>
      </c>
    </row>
    <row r="153" spans="2:16" x14ac:dyDescent="0.35">
      <c r="B153" s="39" t="s">
        <v>2685</v>
      </c>
      <c r="C153" s="101" t="s">
        <v>2886</v>
      </c>
      <c r="D153" s="40">
        <v>44194</v>
      </c>
      <c r="E153" s="40">
        <v>44454</v>
      </c>
      <c r="F153" s="40">
        <v>46279</v>
      </c>
      <c r="G153" s="63" t="s">
        <v>6</v>
      </c>
      <c r="H153" s="38" t="s">
        <v>2645</v>
      </c>
      <c r="I153" s="39" t="s">
        <v>2505</v>
      </c>
      <c r="J153" s="38" t="s">
        <v>5238</v>
      </c>
      <c r="K153" s="38" t="s">
        <v>2583</v>
      </c>
      <c r="L153" s="31">
        <v>500000</v>
      </c>
      <c r="M153" s="31">
        <v>0</v>
      </c>
      <c r="N153" s="31">
        <v>58000</v>
      </c>
      <c r="O153" s="30">
        <f t="shared" si="3"/>
        <v>442000</v>
      </c>
      <c r="P153" s="26">
        <v>1.94</v>
      </c>
    </row>
    <row r="154" spans="2:16" x14ac:dyDescent="0.35">
      <c r="B154" s="39" t="s">
        <v>2684</v>
      </c>
      <c r="C154" s="101" t="s">
        <v>2887</v>
      </c>
      <c r="D154" s="40">
        <v>44194</v>
      </c>
      <c r="E154" s="40">
        <v>44454</v>
      </c>
      <c r="F154" s="40">
        <v>46279</v>
      </c>
      <c r="G154" s="63" t="s">
        <v>6</v>
      </c>
      <c r="H154" s="38" t="s">
        <v>2645</v>
      </c>
      <c r="I154" s="39" t="s">
        <v>2505</v>
      </c>
      <c r="J154" s="38" t="s">
        <v>5238</v>
      </c>
      <c r="K154" s="38" t="s">
        <v>2586</v>
      </c>
      <c r="L154" s="31">
        <v>7500000</v>
      </c>
      <c r="M154" s="31">
        <v>0</v>
      </c>
      <c r="N154" s="31">
        <v>5983113.5099999998</v>
      </c>
      <c r="O154" s="30">
        <f t="shared" si="3"/>
        <v>1516886.4900000002</v>
      </c>
      <c r="P154" s="26">
        <v>1.94</v>
      </c>
    </row>
    <row r="155" spans="2:16" x14ac:dyDescent="0.35">
      <c r="B155" s="39" t="s">
        <v>2747</v>
      </c>
      <c r="C155" s="101" t="s">
        <v>2890</v>
      </c>
      <c r="D155" s="40">
        <v>44344</v>
      </c>
      <c r="E155" s="40">
        <v>44468</v>
      </c>
      <c r="F155" s="40">
        <v>46293</v>
      </c>
      <c r="G155" s="63" t="s">
        <v>6</v>
      </c>
      <c r="H155" s="38" t="s">
        <v>849</v>
      </c>
      <c r="I155" s="39" t="s">
        <v>2506</v>
      </c>
      <c r="J155" s="38" t="s">
        <v>2548</v>
      </c>
      <c r="K155" s="38" t="s">
        <v>2583</v>
      </c>
      <c r="L155" s="31">
        <v>32000</v>
      </c>
      <c r="M155" s="31">
        <v>0</v>
      </c>
      <c r="N155" s="31">
        <v>25600</v>
      </c>
      <c r="O155" s="30">
        <f t="shared" si="3"/>
        <v>6400</v>
      </c>
      <c r="P155" s="26">
        <v>0.76</v>
      </c>
    </row>
    <row r="156" spans="2:16" x14ac:dyDescent="0.35">
      <c r="B156" s="39" t="s">
        <v>2748</v>
      </c>
      <c r="C156" s="101" t="s">
        <v>2891</v>
      </c>
      <c r="D156" s="40">
        <v>44348</v>
      </c>
      <c r="E156" s="40">
        <v>44474</v>
      </c>
      <c r="F156" s="40">
        <v>46299</v>
      </c>
      <c r="G156" s="63" t="s">
        <v>6</v>
      </c>
      <c r="H156" s="38" t="s">
        <v>308</v>
      </c>
      <c r="I156" s="39" t="s">
        <v>2501</v>
      </c>
      <c r="J156" s="38" t="s">
        <v>4489</v>
      </c>
      <c r="K156" s="38" t="s">
        <v>2585</v>
      </c>
      <c r="L156" s="31">
        <v>316081</v>
      </c>
      <c r="M156" s="31">
        <v>0</v>
      </c>
      <c r="N156" s="31">
        <v>0</v>
      </c>
      <c r="O156" s="30">
        <f t="shared" si="3"/>
        <v>316081</v>
      </c>
      <c r="P156" s="26">
        <v>0.77</v>
      </c>
    </row>
    <row r="157" spans="2:16" ht="43.5" x14ac:dyDescent="0.35">
      <c r="B157" s="35" t="s">
        <v>2918</v>
      </c>
      <c r="C157" s="80" t="s">
        <v>2919</v>
      </c>
      <c r="D157" s="36">
        <v>44412</v>
      </c>
      <c r="E157" s="36">
        <v>44483</v>
      </c>
      <c r="F157" s="36">
        <v>45029</v>
      </c>
      <c r="G157" s="64" t="s">
        <v>4057</v>
      </c>
      <c r="H157" s="43" t="s">
        <v>1563</v>
      </c>
      <c r="I157" s="35" t="s">
        <v>2490</v>
      </c>
      <c r="J157" s="43" t="s">
        <v>4517</v>
      </c>
      <c r="K157" s="43" t="s">
        <v>3417</v>
      </c>
      <c r="L157" s="30">
        <v>50000</v>
      </c>
      <c r="M157" s="30">
        <v>14551.81</v>
      </c>
      <c r="N157" s="30">
        <v>12767.92</v>
      </c>
      <c r="O157" s="30">
        <f t="shared" si="3"/>
        <v>22680.270000000004</v>
      </c>
      <c r="P157" s="44" t="s">
        <v>2874</v>
      </c>
    </row>
    <row r="158" spans="2:16" x14ac:dyDescent="0.35">
      <c r="B158" s="39" t="s">
        <v>2663</v>
      </c>
      <c r="C158" s="101" t="s">
        <v>2882</v>
      </c>
      <c r="D158" s="40">
        <v>44175</v>
      </c>
      <c r="E158" s="40">
        <v>44488</v>
      </c>
      <c r="F158" s="40">
        <v>45583</v>
      </c>
      <c r="G158" s="63" t="s">
        <v>6</v>
      </c>
      <c r="H158" s="38" t="s">
        <v>5680</v>
      </c>
      <c r="I158" s="39" t="s">
        <v>2528</v>
      </c>
      <c r="J158" s="38" t="s">
        <v>2698</v>
      </c>
      <c r="K158" s="38" t="s">
        <v>2583</v>
      </c>
      <c r="L158" s="31">
        <v>15000</v>
      </c>
      <c r="M158" s="31">
        <v>0</v>
      </c>
      <c r="N158" s="31">
        <f>2500</f>
        <v>2500</v>
      </c>
      <c r="O158" s="30">
        <f t="shared" si="3"/>
        <v>12500</v>
      </c>
      <c r="P158" s="26">
        <v>0.64</v>
      </c>
    </row>
    <row r="159" spans="2:16" x14ac:dyDescent="0.35">
      <c r="B159" s="39" t="s">
        <v>2664</v>
      </c>
      <c r="C159" s="101" t="s">
        <v>2883</v>
      </c>
      <c r="D159" s="40">
        <v>44175</v>
      </c>
      <c r="E159" s="40">
        <v>44488</v>
      </c>
      <c r="F159" s="40">
        <v>45583</v>
      </c>
      <c r="G159" s="63" t="s">
        <v>6</v>
      </c>
      <c r="H159" s="38" t="s">
        <v>5680</v>
      </c>
      <c r="I159" s="39" t="s">
        <v>2528</v>
      </c>
      <c r="J159" s="38" t="s">
        <v>2698</v>
      </c>
      <c r="K159" s="38" t="s">
        <v>2586</v>
      </c>
      <c r="L159" s="31">
        <v>50000</v>
      </c>
      <c r="M159" s="31">
        <v>0</v>
      </c>
      <c r="N159" s="31">
        <f>10744.53+39255.47</f>
        <v>50000</v>
      </c>
      <c r="O159" s="30">
        <f t="shared" si="3"/>
        <v>0</v>
      </c>
      <c r="P159" s="26">
        <v>0.64</v>
      </c>
    </row>
    <row r="160" spans="2:16" x14ac:dyDescent="0.35">
      <c r="B160" s="39" t="s">
        <v>2665</v>
      </c>
      <c r="C160" s="101" t="s">
        <v>2884</v>
      </c>
      <c r="D160" s="40">
        <v>44175</v>
      </c>
      <c r="E160" s="40">
        <v>44488</v>
      </c>
      <c r="F160" s="40">
        <v>45583</v>
      </c>
      <c r="G160" s="63" t="s">
        <v>6</v>
      </c>
      <c r="H160" s="38" t="s">
        <v>5680</v>
      </c>
      <c r="I160" s="39" t="s">
        <v>2528</v>
      </c>
      <c r="J160" s="38" t="s">
        <v>2698</v>
      </c>
      <c r="K160" s="38" t="s">
        <v>2585</v>
      </c>
      <c r="L160" s="31">
        <v>30000</v>
      </c>
      <c r="M160" s="31">
        <v>0</v>
      </c>
      <c r="N160" s="31">
        <f>24681+5319</f>
        <v>30000</v>
      </c>
      <c r="O160" s="30">
        <f t="shared" si="3"/>
        <v>0</v>
      </c>
      <c r="P160" s="26">
        <v>0.64</v>
      </c>
    </row>
    <row r="161" spans="1:16" x14ac:dyDescent="0.35">
      <c r="B161" s="39" t="s">
        <v>2763</v>
      </c>
      <c r="C161" s="102" t="s">
        <v>2894</v>
      </c>
      <c r="D161" s="40">
        <v>44356</v>
      </c>
      <c r="E161" s="37">
        <v>44498</v>
      </c>
      <c r="F161" s="37">
        <v>46323</v>
      </c>
      <c r="G161" s="63" t="s">
        <v>6</v>
      </c>
      <c r="H161" s="38" t="s">
        <v>2777</v>
      </c>
      <c r="I161" s="39" t="s">
        <v>2490</v>
      </c>
      <c r="J161" s="38" t="s">
        <v>2549</v>
      </c>
      <c r="K161" s="38" t="s">
        <v>2583</v>
      </c>
      <c r="L161" s="31">
        <v>30000</v>
      </c>
      <c r="M161" s="31">
        <v>0</v>
      </c>
      <c r="N161" s="31">
        <v>0</v>
      </c>
      <c r="O161" s="30">
        <f t="shared" si="3"/>
        <v>30000</v>
      </c>
      <c r="P161" s="26">
        <v>1.1599999999999999</v>
      </c>
    </row>
    <row r="162" spans="1:16" x14ac:dyDescent="0.35">
      <c r="B162" s="39" t="s">
        <v>2764</v>
      </c>
      <c r="C162" s="102" t="s">
        <v>2895</v>
      </c>
      <c r="D162" s="40">
        <v>44356</v>
      </c>
      <c r="E162" s="37">
        <v>44498</v>
      </c>
      <c r="F162" s="37">
        <v>46323</v>
      </c>
      <c r="G162" s="63" t="s">
        <v>6</v>
      </c>
      <c r="H162" s="38" t="s">
        <v>2777</v>
      </c>
      <c r="I162" s="39" t="s">
        <v>2490</v>
      </c>
      <c r="J162" s="38" t="s">
        <v>2549</v>
      </c>
      <c r="K162" s="38" t="s">
        <v>2586</v>
      </c>
      <c r="L162" s="31">
        <v>220000</v>
      </c>
      <c r="M162" s="31">
        <v>0</v>
      </c>
      <c r="N162" s="31">
        <v>0</v>
      </c>
      <c r="O162" s="30">
        <f t="shared" si="3"/>
        <v>220000</v>
      </c>
      <c r="P162" s="26">
        <v>1.1599999999999999</v>
      </c>
    </row>
    <row r="163" spans="1:16" ht="29" x14ac:dyDescent="0.35">
      <c r="B163" s="39" t="s">
        <v>2765</v>
      </c>
      <c r="C163" s="102" t="s">
        <v>2896</v>
      </c>
      <c r="D163" s="40">
        <v>44356</v>
      </c>
      <c r="E163" s="37">
        <v>44498</v>
      </c>
      <c r="F163" s="37">
        <v>45593</v>
      </c>
      <c r="G163" s="63" t="s">
        <v>5683</v>
      </c>
      <c r="H163" s="38" t="s">
        <v>2777</v>
      </c>
      <c r="I163" s="39" t="s">
        <v>2490</v>
      </c>
      <c r="J163" s="38" t="s">
        <v>2549</v>
      </c>
      <c r="K163" s="38" t="s">
        <v>2585</v>
      </c>
      <c r="L163" s="31">
        <v>100000</v>
      </c>
      <c r="M163" s="31">
        <v>100000</v>
      </c>
      <c r="N163" s="31">
        <v>0</v>
      </c>
      <c r="O163" s="30">
        <f t="shared" si="3"/>
        <v>0</v>
      </c>
      <c r="P163" s="26" t="s">
        <v>6802</v>
      </c>
    </row>
    <row r="164" spans="1:16" x14ac:dyDescent="0.35">
      <c r="B164" s="39" t="s">
        <v>2790</v>
      </c>
      <c r="C164" s="102" t="s">
        <v>2897</v>
      </c>
      <c r="D164" s="40">
        <v>44378</v>
      </c>
      <c r="E164" s="37">
        <v>44501</v>
      </c>
      <c r="F164" s="37">
        <v>45596</v>
      </c>
      <c r="G164" s="64" t="s">
        <v>6</v>
      </c>
      <c r="H164" s="38" t="s">
        <v>2791</v>
      </c>
      <c r="I164" s="39" t="s">
        <v>2476</v>
      </c>
      <c r="J164" s="38" t="s">
        <v>4514</v>
      </c>
      <c r="K164" s="38" t="s">
        <v>2584</v>
      </c>
      <c r="L164" s="45">
        <v>30000</v>
      </c>
      <c r="M164" s="30">
        <v>0</v>
      </c>
      <c r="N164" s="30">
        <v>16666.5</v>
      </c>
      <c r="O164" s="30">
        <f t="shared" si="3"/>
        <v>13333.5</v>
      </c>
      <c r="P164" s="44">
        <v>5.01</v>
      </c>
    </row>
    <row r="165" spans="1:16" ht="43.5" x14ac:dyDescent="0.35">
      <c r="B165" s="35" t="s">
        <v>2918</v>
      </c>
      <c r="C165" s="80" t="s">
        <v>2931</v>
      </c>
      <c r="D165" s="36">
        <v>44412</v>
      </c>
      <c r="E165" s="37">
        <v>44501</v>
      </c>
      <c r="F165" s="37">
        <v>45077</v>
      </c>
      <c r="G165" s="64" t="s">
        <v>4057</v>
      </c>
      <c r="H165" s="43" t="s">
        <v>1315</v>
      </c>
      <c r="I165" s="35" t="s">
        <v>2480</v>
      </c>
      <c r="J165" s="43" t="s">
        <v>4518</v>
      </c>
      <c r="K165" s="43" t="s">
        <v>3417</v>
      </c>
      <c r="L165" s="30">
        <v>50000</v>
      </c>
      <c r="M165" s="30">
        <v>43906.25</v>
      </c>
      <c r="N165" s="30">
        <v>4843.75</v>
      </c>
      <c r="O165" s="30">
        <f t="shared" si="3"/>
        <v>1250</v>
      </c>
      <c r="P165" s="44" t="s">
        <v>2874</v>
      </c>
    </row>
    <row r="166" spans="1:16" x14ac:dyDescent="0.35">
      <c r="B166" s="39" t="s">
        <v>2752</v>
      </c>
      <c r="C166" s="102" t="s">
        <v>2892</v>
      </c>
      <c r="D166" s="40">
        <v>44348</v>
      </c>
      <c r="E166" s="37">
        <v>44505</v>
      </c>
      <c r="F166" s="37">
        <v>45600</v>
      </c>
      <c r="G166" s="63" t="s">
        <v>6</v>
      </c>
      <c r="H166" s="38" t="s">
        <v>2772</v>
      </c>
      <c r="I166" s="39" t="s">
        <v>2490</v>
      </c>
      <c r="J166" s="38" t="s">
        <v>2780</v>
      </c>
      <c r="K166" s="38" t="s">
        <v>2583</v>
      </c>
      <c r="L166" s="31">
        <v>104000</v>
      </c>
      <c r="M166" s="31">
        <v>0</v>
      </c>
      <c r="N166" s="31">
        <v>62400</v>
      </c>
      <c r="O166" s="30">
        <f t="shared" si="3"/>
        <v>41600</v>
      </c>
      <c r="P166" s="26">
        <v>0.73</v>
      </c>
    </row>
    <row r="167" spans="1:16" x14ac:dyDescent="0.35">
      <c r="B167" s="39" t="s">
        <v>2753</v>
      </c>
      <c r="C167" s="102" t="s">
        <v>2893</v>
      </c>
      <c r="D167" s="40">
        <v>44348</v>
      </c>
      <c r="E167" s="37">
        <v>44505</v>
      </c>
      <c r="F167" s="37">
        <v>46330</v>
      </c>
      <c r="G167" s="63" t="s">
        <v>6</v>
      </c>
      <c r="H167" s="38" t="s">
        <v>2772</v>
      </c>
      <c r="I167" s="39" t="s">
        <v>2490</v>
      </c>
      <c r="J167" s="38" t="s">
        <v>2780</v>
      </c>
      <c r="K167" s="38" t="s">
        <v>2586</v>
      </c>
      <c r="L167" s="31">
        <v>600000</v>
      </c>
      <c r="M167" s="31">
        <v>0</v>
      </c>
      <c r="N167" s="31">
        <f>101159.54+119329.31+67480.9</f>
        <v>287969.75</v>
      </c>
      <c r="O167" s="30">
        <f t="shared" si="3"/>
        <v>312030.25</v>
      </c>
      <c r="P167" s="26">
        <v>0.73</v>
      </c>
    </row>
    <row r="168" spans="1:16" ht="29" x14ac:dyDescent="0.35">
      <c r="A168" s="48"/>
      <c r="B168" s="39" t="s">
        <v>2825</v>
      </c>
      <c r="C168" s="80" t="s">
        <v>2905</v>
      </c>
      <c r="D168" s="40">
        <v>44461</v>
      </c>
      <c r="E168" s="36">
        <v>44505</v>
      </c>
      <c r="F168" s="36">
        <v>46330</v>
      </c>
      <c r="G168" s="64" t="s">
        <v>6</v>
      </c>
      <c r="H168" s="38" t="s">
        <v>2826</v>
      </c>
      <c r="I168" s="39" t="s">
        <v>2483</v>
      </c>
      <c r="J168" s="38" t="s">
        <v>4523</v>
      </c>
      <c r="K168" s="38" t="s">
        <v>2586</v>
      </c>
      <c r="L168" s="45">
        <v>22000000</v>
      </c>
      <c r="M168" s="30">
        <v>0</v>
      </c>
      <c r="N168" s="30">
        <f>14969297.68+888363.2</f>
        <v>15857660.879999999</v>
      </c>
      <c r="O168" s="30">
        <f t="shared" si="3"/>
        <v>6142339.120000001</v>
      </c>
      <c r="P168" s="44">
        <v>0.68</v>
      </c>
    </row>
    <row r="169" spans="1:16" ht="29" x14ac:dyDescent="0.35">
      <c r="A169" s="48"/>
      <c r="B169" s="39" t="s">
        <v>2827</v>
      </c>
      <c r="C169" s="80" t="s">
        <v>2906</v>
      </c>
      <c r="D169" s="40">
        <v>44461</v>
      </c>
      <c r="E169" s="36">
        <v>44505</v>
      </c>
      <c r="F169" s="36">
        <v>46330</v>
      </c>
      <c r="G169" s="64" t="s">
        <v>6</v>
      </c>
      <c r="H169" s="38" t="s">
        <v>2826</v>
      </c>
      <c r="I169" s="39" t="s">
        <v>2483</v>
      </c>
      <c r="J169" s="38" t="s">
        <v>4523</v>
      </c>
      <c r="K169" s="38" t="s">
        <v>2584</v>
      </c>
      <c r="L169" s="45">
        <v>1008000</v>
      </c>
      <c r="M169" s="30">
        <v>0</v>
      </c>
      <c r="N169" s="30">
        <v>0</v>
      </c>
      <c r="O169" s="30">
        <f t="shared" si="3"/>
        <v>1008000</v>
      </c>
      <c r="P169" s="44">
        <v>0.68</v>
      </c>
    </row>
    <row r="170" spans="1:16" x14ac:dyDescent="0.35">
      <c r="A170" s="48"/>
      <c r="B170" s="39" t="s">
        <v>2687</v>
      </c>
      <c r="C170" s="102" t="s">
        <v>2888</v>
      </c>
      <c r="D170" s="40">
        <v>44194</v>
      </c>
      <c r="E170" s="37">
        <v>44517</v>
      </c>
      <c r="F170" s="37">
        <v>46342</v>
      </c>
      <c r="G170" s="63" t="s">
        <v>6</v>
      </c>
      <c r="H170" s="38" t="s">
        <v>2646</v>
      </c>
      <c r="I170" s="39" t="s">
        <v>2491</v>
      </c>
      <c r="J170" s="38" t="s">
        <v>2698</v>
      </c>
      <c r="K170" s="38" t="s">
        <v>2583</v>
      </c>
      <c r="L170" s="31">
        <v>18000</v>
      </c>
      <c r="M170" s="31">
        <v>0</v>
      </c>
      <c r="N170" s="31">
        <v>0</v>
      </c>
      <c r="O170" s="30">
        <f t="shared" si="3"/>
        <v>18000</v>
      </c>
      <c r="P170" s="26">
        <v>52.41</v>
      </c>
    </row>
    <row r="171" spans="1:16" x14ac:dyDescent="0.35">
      <c r="A171" s="48"/>
      <c r="B171" s="39" t="s">
        <v>2688</v>
      </c>
      <c r="C171" s="102" t="s">
        <v>2889</v>
      </c>
      <c r="D171" s="40">
        <v>44194</v>
      </c>
      <c r="E171" s="37">
        <v>44517</v>
      </c>
      <c r="F171" s="37">
        <v>46342</v>
      </c>
      <c r="G171" s="63" t="s">
        <v>6</v>
      </c>
      <c r="H171" s="38" t="s">
        <v>2646</v>
      </c>
      <c r="I171" s="39" t="s">
        <v>2491</v>
      </c>
      <c r="J171" s="38" t="s">
        <v>2698</v>
      </c>
      <c r="K171" s="38" t="s">
        <v>2586</v>
      </c>
      <c r="L171" s="31">
        <v>42187.5</v>
      </c>
      <c r="M171" s="31">
        <v>0</v>
      </c>
      <c r="N171" s="31">
        <v>0</v>
      </c>
      <c r="O171" s="30">
        <f t="shared" si="3"/>
        <v>42187.5</v>
      </c>
      <c r="P171" s="26">
        <v>52.41</v>
      </c>
    </row>
    <row r="172" spans="1:16" ht="58" x14ac:dyDescent="0.35">
      <c r="A172" s="48"/>
      <c r="B172" s="39" t="s">
        <v>2912</v>
      </c>
      <c r="C172" s="102" t="s">
        <v>2913</v>
      </c>
      <c r="D172" s="40">
        <v>44487</v>
      </c>
      <c r="E172" s="37">
        <v>44532</v>
      </c>
      <c r="F172" s="37">
        <v>46358</v>
      </c>
      <c r="G172" s="64" t="s">
        <v>6</v>
      </c>
      <c r="H172" s="38" t="s">
        <v>2911</v>
      </c>
      <c r="I172" s="39" t="s">
        <v>2497</v>
      </c>
      <c r="J172" s="38" t="s">
        <v>4525</v>
      </c>
      <c r="K172" s="38" t="s">
        <v>2586</v>
      </c>
      <c r="L172" s="45">
        <v>4872500</v>
      </c>
      <c r="M172" s="30">
        <v>0</v>
      </c>
      <c r="N172" s="30">
        <f>4000000+688518.75</f>
        <v>4688518.75</v>
      </c>
      <c r="O172" s="30">
        <f t="shared" si="3"/>
        <v>183981.25</v>
      </c>
      <c r="P172" s="44">
        <v>0</v>
      </c>
    </row>
    <row r="173" spans="1:16" x14ac:dyDescent="0.35">
      <c r="A173" s="48"/>
      <c r="B173" s="39" t="s">
        <v>2806</v>
      </c>
      <c r="C173" s="80" t="s">
        <v>2901</v>
      </c>
      <c r="D173" s="40">
        <v>44378</v>
      </c>
      <c r="E173" s="37">
        <v>44533</v>
      </c>
      <c r="F173" s="37">
        <v>46358</v>
      </c>
      <c r="G173" s="64" t="s">
        <v>5683</v>
      </c>
      <c r="H173" s="38" t="s">
        <v>2807</v>
      </c>
      <c r="I173" s="39" t="s">
        <v>2473</v>
      </c>
      <c r="J173" s="38" t="s">
        <v>4510</v>
      </c>
      <c r="K173" s="38" t="s">
        <v>2584</v>
      </c>
      <c r="L173" s="45">
        <v>2000000</v>
      </c>
      <c r="M173" s="30">
        <v>2000000</v>
      </c>
      <c r="N173" s="30">
        <v>0</v>
      </c>
      <c r="O173" s="30">
        <f t="shared" si="3"/>
        <v>0</v>
      </c>
      <c r="P173" s="44">
        <v>0.9</v>
      </c>
    </row>
    <row r="174" spans="1:16" x14ac:dyDescent="0.35">
      <c r="A174" s="48"/>
      <c r="B174" s="39" t="s">
        <v>2808</v>
      </c>
      <c r="C174" s="80" t="s">
        <v>2902</v>
      </c>
      <c r="D174" s="40">
        <v>44378</v>
      </c>
      <c r="E174" s="37">
        <v>44533</v>
      </c>
      <c r="F174" s="37">
        <v>46358</v>
      </c>
      <c r="G174" s="64" t="s">
        <v>5683</v>
      </c>
      <c r="H174" s="38" t="s">
        <v>2807</v>
      </c>
      <c r="I174" s="39" t="s">
        <v>2473</v>
      </c>
      <c r="J174" s="38" t="s">
        <v>4510</v>
      </c>
      <c r="K174" s="38" t="s">
        <v>2584</v>
      </c>
      <c r="L174" s="45">
        <v>1200000</v>
      </c>
      <c r="M174" s="30">
        <v>1200000</v>
      </c>
      <c r="N174" s="30">
        <v>0</v>
      </c>
      <c r="O174" s="30">
        <f t="shared" si="3"/>
        <v>0</v>
      </c>
      <c r="P174" s="44">
        <v>0.9</v>
      </c>
    </row>
    <row r="175" spans="1:16" x14ac:dyDescent="0.35">
      <c r="A175" s="48"/>
      <c r="B175" s="39" t="s">
        <v>2809</v>
      </c>
      <c r="C175" s="80" t="s">
        <v>2903</v>
      </c>
      <c r="D175" s="40">
        <v>44378</v>
      </c>
      <c r="E175" s="37">
        <v>44533</v>
      </c>
      <c r="F175" s="37">
        <v>46358</v>
      </c>
      <c r="G175" s="64" t="s">
        <v>5683</v>
      </c>
      <c r="H175" s="38" t="s">
        <v>2807</v>
      </c>
      <c r="I175" s="39" t="s">
        <v>2473</v>
      </c>
      <c r="J175" s="38" t="s">
        <v>4510</v>
      </c>
      <c r="K175" s="38" t="s">
        <v>2586</v>
      </c>
      <c r="L175" s="45">
        <v>400000</v>
      </c>
      <c r="M175" s="30">
        <v>400000</v>
      </c>
      <c r="N175" s="30">
        <v>0</v>
      </c>
      <c r="O175" s="30">
        <f t="shared" si="3"/>
        <v>0</v>
      </c>
      <c r="P175" s="44">
        <v>0.9</v>
      </c>
    </row>
    <row r="176" spans="1:16" x14ac:dyDescent="0.35">
      <c r="A176" s="48"/>
      <c r="B176" s="39" t="s">
        <v>2810</v>
      </c>
      <c r="C176" s="80" t="s">
        <v>2904</v>
      </c>
      <c r="D176" s="40">
        <v>44378</v>
      </c>
      <c r="E176" s="37">
        <v>44533</v>
      </c>
      <c r="F176" s="37">
        <v>46358</v>
      </c>
      <c r="G176" s="64" t="s">
        <v>5683</v>
      </c>
      <c r="H176" s="38" t="s">
        <v>2807</v>
      </c>
      <c r="I176" s="39" t="s">
        <v>2473</v>
      </c>
      <c r="J176" s="38" t="s">
        <v>4510</v>
      </c>
      <c r="K176" s="38" t="s">
        <v>2584</v>
      </c>
      <c r="L176" s="45">
        <v>3000000</v>
      </c>
      <c r="M176" s="30">
        <v>3000000</v>
      </c>
      <c r="N176" s="30">
        <v>0</v>
      </c>
      <c r="O176" s="30">
        <f t="shared" si="3"/>
        <v>0</v>
      </c>
      <c r="P176" s="44">
        <v>0.9</v>
      </c>
    </row>
    <row r="177" spans="1:16" x14ac:dyDescent="0.35">
      <c r="A177" s="48"/>
      <c r="B177" s="39" t="s">
        <v>2798</v>
      </c>
      <c r="C177" s="102" t="s">
        <v>2898</v>
      </c>
      <c r="D177" s="40">
        <v>44378</v>
      </c>
      <c r="E177" s="37">
        <v>44533</v>
      </c>
      <c r="F177" s="37">
        <v>46358</v>
      </c>
      <c r="G177" s="64" t="s">
        <v>6</v>
      </c>
      <c r="H177" s="38" t="s">
        <v>2799</v>
      </c>
      <c r="I177" s="39" t="s">
        <v>2483</v>
      </c>
      <c r="J177" s="38" t="s">
        <v>4513</v>
      </c>
      <c r="K177" s="38" t="s">
        <v>2584</v>
      </c>
      <c r="L177" s="45">
        <v>70400</v>
      </c>
      <c r="M177" s="30">
        <v>0</v>
      </c>
      <c r="N177" s="30">
        <v>0</v>
      </c>
      <c r="O177" s="30">
        <f t="shared" si="3"/>
        <v>70400</v>
      </c>
      <c r="P177" s="44">
        <v>7.34</v>
      </c>
    </row>
    <row r="178" spans="1:16" x14ac:dyDescent="0.35">
      <c r="A178" s="48"/>
      <c r="B178" s="39" t="s">
        <v>2800</v>
      </c>
      <c r="C178" s="102" t="s">
        <v>2899</v>
      </c>
      <c r="D178" s="40">
        <v>44378</v>
      </c>
      <c r="E178" s="37">
        <v>44533</v>
      </c>
      <c r="F178" s="37">
        <v>46358</v>
      </c>
      <c r="G178" s="64" t="s">
        <v>6</v>
      </c>
      <c r="H178" s="38" t="s">
        <v>2799</v>
      </c>
      <c r="I178" s="39" t="s">
        <v>2483</v>
      </c>
      <c r="J178" s="38" t="s">
        <v>4513</v>
      </c>
      <c r="K178" s="38" t="s">
        <v>2586</v>
      </c>
      <c r="L178" s="45">
        <v>411639</v>
      </c>
      <c r="M178" s="30">
        <v>0</v>
      </c>
      <c r="N178" s="30">
        <v>109600</v>
      </c>
      <c r="O178" s="30">
        <f t="shared" si="3"/>
        <v>302039</v>
      </c>
      <c r="P178" s="44">
        <v>7.34</v>
      </c>
    </row>
    <row r="179" spans="1:16" x14ac:dyDescent="0.35">
      <c r="A179" s="48"/>
      <c r="B179" s="39" t="s">
        <v>2801</v>
      </c>
      <c r="C179" s="102" t="s">
        <v>2900</v>
      </c>
      <c r="D179" s="40">
        <v>44378</v>
      </c>
      <c r="E179" s="37">
        <v>44533</v>
      </c>
      <c r="F179" s="37">
        <v>46358</v>
      </c>
      <c r="G179" s="64" t="s">
        <v>6</v>
      </c>
      <c r="H179" s="38" t="s">
        <v>2799</v>
      </c>
      <c r="I179" s="39" t="s">
        <v>2483</v>
      </c>
      <c r="J179" s="38" t="s">
        <v>4513</v>
      </c>
      <c r="K179" s="38" t="s">
        <v>2585</v>
      </c>
      <c r="L179" s="45">
        <v>48022</v>
      </c>
      <c r="M179" s="30">
        <v>0</v>
      </c>
      <c r="N179" s="30">
        <v>0</v>
      </c>
      <c r="O179" s="30">
        <f t="shared" si="3"/>
        <v>48022</v>
      </c>
      <c r="P179" s="44">
        <v>7.34</v>
      </c>
    </row>
    <row r="180" spans="1:16" ht="58" x14ac:dyDescent="0.35">
      <c r="A180" s="48"/>
      <c r="B180" s="39" t="s">
        <v>2909</v>
      </c>
      <c r="C180" s="102" t="s">
        <v>2910</v>
      </c>
      <c r="D180" s="40">
        <v>44487</v>
      </c>
      <c r="E180" s="37">
        <v>44533</v>
      </c>
      <c r="F180" s="37">
        <v>46358</v>
      </c>
      <c r="G180" s="64" t="s">
        <v>6</v>
      </c>
      <c r="H180" s="38" t="s">
        <v>2911</v>
      </c>
      <c r="I180" s="39" t="s">
        <v>2497</v>
      </c>
      <c r="J180" s="38" t="s">
        <v>4525</v>
      </c>
      <c r="K180" s="38" t="s">
        <v>2584</v>
      </c>
      <c r="L180" s="45">
        <v>127500</v>
      </c>
      <c r="M180" s="30">
        <v>0</v>
      </c>
      <c r="N180" s="30">
        <v>0</v>
      </c>
      <c r="O180" s="30">
        <f t="shared" si="3"/>
        <v>127500</v>
      </c>
      <c r="P180" s="44">
        <v>0</v>
      </c>
    </row>
    <row r="181" spans="1:16" x14ac:dyDescent="0.35">
      <c r="A181" s="48"/>
      <c r="B181" s="39" t="s">
        <v>2817</v>
      </c>
      <c r="C181" s="80" t="s">
        <v>3013</v>
      </c>
      <c r="D181" s="40">
        <v>44441</v>
      </c>
      <c r="E181" s="36">
        <v>44573</v>
      </c>
      <c r="F181" s="36">
        <v>45668</v>
      </c>
      <c r="G181" s="64" t="s">
        <v>6</v>
      </c>
      <c r="H181" s="38" t="s">
        <v>2818</v>
      </c>
      <c r="I181" s="39" t="s">
        <v>2480</v>
      </c>
      <c r="J181" s="38" t="s">
        <v>4520</v>
      </c>
      <c r="K181" s="38" t="s">
        <v>2583</v>
      </c>
      <c r="L181" s="45">
        <v>7000</v>
      </c>
      <c r="M181" s="30">
        <v>0</v>
      </c>
      <c r="N181" s="30">
        <v>0</v>
      </c>
      <c r="O181" s="30">
        <f t="shared" si="3"/>
        <v>7000</v>
      </c>
      <c r="P181" s="44">
        <v>2</v>
      </c>
    </row>
    <row r="182" spans="1:16" x14ac:dyDescent="0.35">
      <c r="A182" s="48"/>
      <c r="B182" s="39" t="s">
        <v>2819</v>
      </c>
      <c r="C182" s="80" t="s">
        <v>3014</v>
      </c>
      <c r="D182" s="40">
        <v>44441</v>
      </c>
      <c r="E182" s="36">
        <v>44573</v>
      </c>
      <c r="F182" s="36">
        <v>45668</v>
      </c>
      <c r="G182" s="64" t="s">
        <v>6</v>
      </c>
      <c r="H182" s="38" t="s">
        <v>2818</v>
      </c>
      <c r="I182" s="39" t="s">
        <v>2480</v>
      </c>
      <c r="J182" s="38" t="s">
        <v>4520</v>
      </c>
      <c r="K182" s="38" t="s">
        <v>2586</v>
      </c>
      <c r="L182" s="45">
        <v>38005</v>
      </c>
      <c r="M182" s="30">
        <v>0</v>
      </c>
      <c r="N182" s="30">
        <v>0</v>
      </c>
      <c r="O182" s="30">
        <f t="shared" si="3"/>
        <v>38005</v>
      </c>
      <c r="P182" s="44">
        <v>2</v>
      </c>
    </row>
    <row r="183" spans="1:16" x14ac:dyDescent="0.35">
      <c r="B183" s="39" t="s">
        <v>2914</v>
      </c>
      <c r="C183" s="104" t="s">
        <v>3031</v>
      </c>
      <c r="D183" s="40">
        <v>44487</v>
      </c>
      <c r="E183" s="46">
        <v>44574</v>
      </c>
      <c r="F183" s="46">
        <v>46399</v>
      </c>
      <c r="G183" s="64" t="s">
        <v>5683</v>
      </c>
      <c r="H183" s="38" t="s">
        <v>2915</v>
      </c>
      <c r="I183" s="35" t="s">
        <v>2653</v>
      </c>
      <c r="J183" s="38" t="s">
        <v>4526</v>
      </c>
      <c r="K183" s="38" t="s">
        <v>2583</v>
      </c>
      <c r="L183" s="45">
        <v>13000</v>
      </c>
      <c r="M183" s="30">
        <v>13000</v>
      </c>
      <c r="N183" s="30">
        <v>0</v>
      </c>
      <c r="O183" s="30">
        <f t="shared" si="3"/>
        <v>0</v>
      </c>
      <c r="P183" s="44">
        <v>5.4</v>
      </c>
    </row>
    <row r="184" spans="1:16" x14ac:dyDescent="0.35">
      <c r="B184" s="39" t="s">
        <v>2916</v>
      </c>
      <c r="C184" s="104" t="s">
        <v>3032</v>
      </c>
      <c r="D184" s="40">
        <v>44487</v>
      </c>
      <c r="E184" s="46">
        <v>44574</v>
      </c>
      <c r="F184" s="46">
        <v>46399</v>
      </c>
      <c r="G184" s="64" t="s">
        <v>6</v>
      </c>
      <c r="H184" s="38" t="s">
        <v>2915</v>
      </c>
      <c r="I184" s="35" t="s">
        <v>2653</v>
      </c>
      <c r="J184" s="38" t="s">
        <v>4526</v>
      </c>
      <c r="K184" s="38" t="s">
        <v>2586</v>
      </c>
      <c r="L184" s="45">
        <v>856922</v>
      </c>
      <c r="M184" s="30">
        <v>0</v>
      </c>
      <c r="N184" s="30">
        <f>54067.55+22140.7</f>
        <v>76208.25</v>
      </c>
      <c r="O184" s="30">
        <f t="shared" si="3"/>
        <v>780713.75</v>
      </c>
      <c r="P184" s="44">
        <v>5.4</v>
      </c>
    </row>
    <row r="185" spans="1:16" ht="29" x14ac:dyDescent="0.35">
      <c r="B185" s="39" t="s">
        <v>2756</v>
      </c>
      <c r="C185" s="101" t="s">
        <v>3030</v>
      </c>
      <c r="D185" s="40">
        <v>44348</v>
      </c>
      <c r="E185" s="40">
        <v>44579</v>
      </c>
      <c r="F185" s="40">
        <v>44742</v>
      </c>
      <c r="G185" s="63" t="s">
        <v>5683</v>
      </c>
      <c r="H185" s="38" t="s">
        <v>2774</v>
      </c>
      <c r="I185" s="39" t="s">
        <v>2654</v>
      </c>
      <c r="J185" s="38" t="s">
        <v>4509</v>
      </c>
      <c r="K185" s="38" t="s">
        <v>5558</v>
      </c>
      <c r="L185" s="31">
        <v>120000</v>
      </c>
      <c r="M185" s="31">
        <v>63300</v>
      </c>
      <c r="N185" s="31">
        <v>56700</v>
      </c>
      <c r="O185" s="30">
        <f t="shared" si="3"/>
        <v>0</v>
      </c>
      <c r="P185" s="26" t="s">
        <v>6250</v>
      </c>
    </row>
    <row r="186" spans="1:16" x14ac:dyDescent="0.35">
      <c r="B186" s="39" t="s">
        <v>2980</v>
      </c>
      <c r="C186" s="80" t="s">
        <v>3033</v>
      </c>
      <c r="D186" s="40">
        <v>44573</v>
      </c>
      <c r="E186" s="46">
        <v>44589</v>
      </c>
      <c r="F186" s="46">
        <v>46414</v>
      </c>
      <c r="G186" s="64" t="s">
        <v>6</v>
      </c>
      <c r="H186" s="38" t="s">
        <v>3001</v>
      </c>
      <c r="I186" s="35" t="s">
        <v>2497</v>
      </c>
      <c r="J186" s="38" t="s">
        <v>4539</v>
      </c>
      <c r="K186" s="38" t="s">
        <v>2585</v>
      </c>
      <c r="L186" s="45">
        <v>300000</v>
      </c>
      <c r="M186" s="30">
        <v>0</v>
      </c>
      <c r="N186" s="30">
        <v>0</v>
      </c>
      <c r="O186" s="30">
        <f t="shared" si="3"/>
        <v>300000</v>
      </c>
      <c r="P186" s="44">
        <v>9.09</v>
      </c>
    </row>
    <row r="187" spans="1:16" x14ac:dyDescent="0.35">
      <c r="B187" s="39" t="s">
        <v>2796</v>
      </c>
      <c r="C187" s="80" t="s">
        <v>3395</v>
      </c>
      <c r="D187" s="40">
        <v>44378</v>
      </c>
      <c r="E187" s="36">
        <v>44592</v>
      </c>
      <c r="F187" s="36">
        <v>46417</v>
      </c>
      <c r="G187" s="64" t="s">
        <v>6</v>
      </c>
      <c r="H187" s="38" t="s">
        <v>2797</v>
      </c>
      <c r="I187" s="39" t="s">
        <v>2485</v>
      </c>
      <c r="J187" s="38" t="s">
        <v>4511</v>
      </c>
      <c r="K187" s="38" t="s">
        <v>2584</v>
      </c>
      <c r="L187" s="45">
        <v>38000</v>
      </c>
      <c r="M187" s="30">
        <v>0</v>
      </c>
      <c r="N187" s="30">
        <v>0</v>
      </c>
      <c r="O187" s="30">
        <f t="shared" si="3"/>
        <v>38000</v>
      </c>
      <c r="P187" s="44">
        <v>1.1399999999999999</v>
      </c>
    </row>
    <row r="188" spans="1:16" x14ac:dyDescent="0.35">
      <c r="B188" s="39" t="s">
        <v>2866</v>
      </c>
      <c r="C188" s="104" t="s">
        <v>3035</v>
      </c>
      <c r="D188" s="40">
        <v>44194</v>
      </c>
      <c r="E188" s="46">
        <v>44594</v>
      </c>
      <c r="F188" s="46">
        <v>46419</v>
      </c>
      <c r="G188" s="63" t="s">
        <v>6</v>
      </c>
      <c r="H188" s="43" t="s">
        <v>2868</v>
      </c>
      <c r="I188" s="35" t="s">
        <v>2484</v>
      </c>
      <c r="J188" s="38" t="s">
        <v>3807</v>
      </c>
      <c r="K188" s="38" t="s">
        <v>2584</v>
      </c>
      <c r="L188" s="45">
        <v>114000</v>
      </c>
      <c r="M188" s="30">
        <v>0</v>
      </c>
      <c r="N188" s="30">
        <f>45600+22800+22800</f>
        <v>91200</v>
      </c>
      <c r="O188" s="30">
        <f t="shared" si="3"/>
        <v>22800</v>
      </c>
      <c r="P188" s="26">
        <v>0.66</v>
      </c>
    </row>
    <row r="189" spans="1:16" x14ac:dyDescent="0.35">
      <c r="B189" s="39" t="s">
        <v>2867</v>
      </c>
      <c r="C189" s="104" t="s">
        <v>3036</v>
      </c>
      <c r="D189" s="40">
        <v>44194</v>
      </c>
      <c r="E189" s="46">
        <v>44594</v>
      </c>
      <c r="F189" s="46">
        <v>46419</v>
      </c>
      <c r="G189" s="63" t="s">
        <v>6</v>
      </c>
      <c r="H189" s="43" t="s">
        <v>2868</v>
      </c>
      <c r="I189" s="35" t="s">
        <v>2484</v>
      </c>
      <c r="J189" s="38" t="s">
        <v>3807</v>
      </c>
      <c r="K189" s="38" t="s">
        <v>2586</v>
      </c>
      <c r="L189" s="45">
        <v>250000</v>
      </c>
      <c r="M189" s="30">
        <v>0</v>
      </c>
      <c r="N189" s="30">
        <v>36907.589999999997</v>
      </c>
      <c r="O189" s="30">
        <f t="shared" si="3"/>
        <v>213092.41</v>
      </c>
      <c r="P189" s="26">
        <v>0.66</v>
      </c>
    </row>
    <row r="190" spans="1:16" ht="43.5" x14ac:dyDescent="0.35">
      <c r="B190" s="39" t="s">
        <v>3205</v>
      </c>
      <c r="C190" s="80" t="s">
        <v>3576</v>
      </c>
      <c r="D190" s="40">
        <v>44781</v>
      </c>
      <c r="E190" s="36">
        <v>44599</v>
      </c>
      <c r="F190" s="36">
        <v>44963</v>
      </c>
      <c r="G190" s="64" t="s">
        <v>6</v>
      </c>
      <c r="H190" s="38" t="s">
        <v>3210</v>
      </c>
      <c r="I190" s="39" t="s">
        <v>2528</v>
      </c>
      <c r="J190" s="38" t="s">
        <v>3214</v>
      </c>
      <c r="K190" s="38" t="s">
        <v>2583</v>
      </c>
      <c r="L190" s="49">
        <v>7500</v>
      </c>
      <c r="M190" s="49">
        <v>0</v>
      </c>
      <c r="N190" s="49">
        <v>0</v>
      </c>
      <c r="O190" s="30">
        <f t="shared" si="3"/>
        <v>7500</v>
      </c>
      <c r="P190" s="44">
        <v>1</v>
      </c>
    </row>
    <row r="191" spans="1:16" ht="29" x14ac:dyDescent="0.35">
      <c r="B191" s="39" t="s">
        <v>2802</v>
      </c>
      <c r="C191" s="104" t="s">
        <v>3037</v>
      </c>
      <c r="D191" s="40">
        <v>44378</v>
      </c>
      <c r="E191" s="46">
        <v>44601</v>
      </c>
      <c r="F191" s="46">
        <v>46426</v>
      </c>
      <c r="G191" s="64" t="s">
        <v>6</v>
      </c>
      <c r="H191" s="38" t="s">
        <v>2803</v>
      </c>
      <c r="I191" s="39" t="s">
        <v>2804</v>
      </c>
      <c r="J191" s="38" t="s">
        <v>4512</v>
      </c>
      <c r="K191" s="38" t="s">
        <v>2584</v>
      </c>
      <c r="L191" s="45">
        <v>57000</v>
      </c>
      <c r="M191" s="30">
        <v>0</v>
      </c>
      <c r="N191" s="30">
        <v>0</v>
      </c>
      <c r="O191" s="30">
        <f t="shared" si="3"/>
        <v>57000</v>
      </c>
      <c r="P191" s="44">
        <v>2.86</v>
      </c>
    </row>
    <row r="192" spans="1:16" ht="29" x14ac:dyDescent="0.35">
      <c r="B192" s="39" t="s">
        <v>2805</v>
      </c>
      <c r="C192" s="104" t="s">
        <v>3038</v>
      </c>
      <c r="D192" s="40">
        <v>44378</v>
      </c>
      <c r="E192" s="46">
        <v>44601</v>
      </c>
      <c r="F192" s="46">
        <v>46426</v>
      </c>
      <c r="G192" s="64" t="s">
        <v>6</v>
      </c>
      <c r="H192" s="38" t="s">
        <v>2803</v>
      </c>
      <c r="I192" s="39" t="s">
        <v>2804</v>
      </c>
      <c r="J192" s="38" t="s">
        <v>4512</v>
      </c>
      <c r="K192" s="38" t="s">
        <v>2586</v>
      </c>
      <c r="L192" s="45">
        <v>366084</v>
      </c>
      <c r="M192" s="30">
        <v>0</v>
      </c>
      <c r="N192" s="30">
        <f>100376.6+150759.51</f>
        <v>251136.11000000002</v>
      </c>
      <c r="O192" s="30">
        <f t="shared" si="3"/>
        <v>114947.88999999998</v>
      </c>
      <c r="P192" s="44">
        <v>2.86</v>
      </c>
    </row>
    <row r="193" spans="2:16" x14ac:dyDescent="0.35">
      <c r="B193" s="39" t="s">
        <v>2792</v>
      </c>
      <c r="C193" s="104" t="s">
        <v>3039</v>
      </c>
      <c r="D193" s="40">
        <v>44378</v>
      </c>
      <c r="E193" s="46">
        <v>44601</v>
      </c>
      <c r="F193" s="46">
        <v>45696</v>
      </c>
      <c r="G193" s="64" t="s">
        <v>5683</v>
      </c>
      <c r="H193" s="38" t="s">
        <v>2793</v>
      </c>
      <c r="I193" s="39" t="s">
        <v>2519</v>
      </c>
      <c r="J193" s="38" t="s">
        <v>4485</v>
      </c>
      <c r="K193" s="38" t="s">
        <v>2584</v>
      </c>
      <c r="L193" s="45">
        <v>80600</v>
      </c>
      <c r="M193" s="30">
        <v>80600</v>
      </c>
      <c r="N193" s="30">
        <v>0</v>
      </c>
      <c r="O193" s="30">
        <f t="shared" si="3"/>
        <v>0</v>
      </c>
      <c r="P193" s="44" t="s">
        <v>6251</v>
      </c>
    </row>
    <row r="194" spans="2:16" x14ac:dyDescent="0.35">
      <c r="B194" s="39" t="s">
        <v>2794</v>
      </c>
      <c r="C194" s="104" t="s">
        <v>3040</v>
      </c>
      <c r="D194" s="40">
        <v>44378</v>
      </c>
      <c r="E194" s="46">
        <v>44601</v>
      </c>
      <c r="F194" s="46">
        <v>46426</v>
      </c>
      <c r="G194" s="64" t="s">
        <v>6</v>
      </c>
      <c r="H194" s="38" t="s">
        <v>2793</v>
      </c>
      <c r="I194" s="39" t="s">
        <v>2519</v>
      </c>
      <c r="J194" s="38" t="s">
        <v>4485</v>
      </c>
      <c r="K194" s="38" t="s">
        <v>2586</v>
      </c>
      <c r="L194" s="45">
        <v>50000</v>
      </c>
      <c r="M194" s="30">
        <v>0</v>
      </c>
      <c r="N194" s="30">
        <v>0</v>
      </c>
      <c r="O194" s="30">
        <f t="shared" si="3"/>
        <v>50000</v>
      </c>
      <c r="P194" s="44">
        <v>7.56</v>
      </c>
    </row>
    <row r="195" spans="2:16" x14ac:dyDescent="0.35">
      <c r="B195" s="39" t="s">
        <v>2979</v>
      </c>
      <c r="C195" s="80" t="s">
        <v>3034</v>
      </c>
      <c r="D195" s="40">
        <v>44573</v>
      </c>
      <c r="E195" s="46">
        <v>44601</v>
      </c>
      <c r="F195" s="46">
        <v>46426</v>
      </c>
      <c r="G195" s="64" t="s">
        <v>6</v>
      </c>
      <c r="H195" s="38" t="s">
        <v>3001</v>
      </c>
      <c r="I195" s="35" t="s">
        <v>2497</v>
      </c>
      <c r="J195" s="38" t="s">
        <v>4539</v>
      </c>
      <c r="K195" s="38" t="s">
        <v>2583</v>
      </c>
      <c r="L195" s="45">
        <v>90000</v>
      </c>
      <c r="M195" s="30">
        <v>0</v>
      </c>
      <c r="N195" s="30">
        <v>0</v>
      </c>
      <c r="O195" s="30">
        <f t="shared" si="3"/>
        <v>90000</v>
      </c>
      <c r="P195" s="44">
        <v>9.09</v>
      </c>
    </row>
    <row r="196" spans="2:16" x14ac:dyDescent="0.35">
      <c r="B196" s="39" t="s">
        <v>2813</v>
      </c>
      <c r="C196" s="104" t="s">
        <v>3041</v>
      </c>
      <c r="D196" s="40">
        <v>44441</v>
      </c>
      <c r="E196" s="46">
        <v>44602</v>
      </c>
      <c r="F196" s="46">
        <v>46427</v>
      </c>
      <c r="G196" s="64" t="s">
        <v>6</v>
      </c>
      <c r="H196" s="38" t="s">
        <v>2814</v>
      </c>
      <c r="I196" s="39" t="s">
        <v>2517</v>
      </c>
      <c r="J196" s="38" t="s">
        <v>4519</v>
      </c>
      <c r="K196" s="38" t="s">
        <v>2584</v>
      </c>
      <c r="L196" s="45">
        <v>510000</v>
      </c>
      <c r="M196" s="30">
        <v>0</v>
      </c>
      <c r="N196" s="30">
        <f>130000+102000</f>
        <v>232000</v>
      </c>
      <c r="O196" s="30">
        <f t="shared" si="3"/>
        <v>278000</v>
      </c>
      <c r="P196" s="44">
        <v>42.63</v>
      </c>
    </row>
    <row r="197" spans="2:16" x14ac:dyDescent="0.35">
      <c r="B197" s="39" t="s">
        <v>2815</v>
      </c>
      <c r="C197" s="104" t="s">
        <v>3042</v>
      </c>
      <c r="D197" s="40">
        <v>44441</v>
      </c>
      <c r="E197" s="46">
        <v>44602</v>
      </c>
      <c r="F197" s="46">
        <v>46427</v>
      </c>
      <c r="G197" s="64" t="s">
        <v>6</v>
      </c>
      <c r="H197" s="38" t="s">
        <v>2814</v>
      </c>
      <c r="I197" s="39" t="s">
        <v>2517</v>
      </c>
      <c r="J197" s="38" t="s">
        <v>4519</v>
      </c>
      <c r="K197" s="38" t="s">
        <v>2586</v>
      </c>
      <c r="L197" s="45">
        <v>5000000</v>
      </c>
      <c r="M197" s="30">
        <v>0</v>
      </c>
      <c r="N197" s="30">
        <f>1600000+289636.4</f>
        <v>1889636.4</v>
      </c>
      <c r="O197" s="30">
        <f t="shared" ref="O197:O260" si="4">L197-M197-N197</f>
        <v>3110363.6</v>
      </c>
      <c r="P197" s="44">
        <v>42.63</v>
      </c>
    </row>
    <row r="198" spans="2:16" ht="29" x14ac:dyDescent="0.35">
      <c r="B198" s="39" t="s">
        <v>2823</v>
      </c>
      <c r="C198" s="80" t="s">
        <v>3072</v>
      </c>
      <c r="D198" s="40">
        <v>44453</v>
      </c>
      <c r="E198" s="46">
        <v>44603</v>
      </c>
      <c r="F198" s="46">
        <v>46428</v>
      </c>
      <c r="G198" s="64" t="s">
        <v>6</v>
      </c>
      <c r="H198" s="38" t="s">
        <v>2824</v>
      </c>
      <c r="I198" s="39" t="s">
        <v>2480</v>
      </c>
      <c r="J198" s="38" t="s">
        <v>4522</v>
      </c>
      <c r="K198" s="38" t="s">
        <v>2586</v>
      </c>
      <c r="L198" s="45">
        <v>2034525</v>
      </c>
      <c r="M198" s="30">
        <v>0</v>
      </c>
      <c r="N198" s="30">
        <v>0</v>
      </c>
      <c r="O198" s="30">
        <f t="shared" si="4"/>
        <v>2034525</v>
      </c>
      <c r="P198" s="44">
        <v>6.74</v>
      </c>
    </row>
    <row r="199" spans="2:16" ht="29" x14ac:dyDescent="0.35">
      <c r="B199" s="35" t="s">
        <v>2918</v>
      </c>
      <c r="C199" s="80" t="s">
        <v>3043</v>
      </c>
      <c r="D199" s="36">
        <v>44412</v>
      </c>
      <c r="E199" s="46">
        <v>44606</v>
      </c>
      <c r="F199" s="46">
        <v>45151</v>
      </c>
      <c r="G199" s="64" t="s">
        <v>5683</v>
      </c>
      <c r="H199" s="43" t="s">
        <v>2274</v>
      </c>
      <c r="I199" s="35" t="s">
        <v>2482</v>
      </c>
      <c r="J199" s="43" t="s">
        <v>4557</v>
      </c>
      <c r="K199" s="43" t="s">
        <v>3417</v>
      </c>
      <c r="L199" s="49">
        <v>25000</v>
      </c>
      <c r="M199" s="49">
        <v>15763.97</v>
      </c>
      <c r="N199" s="49">
        <f>4763.53+4472.5</f>
        <v>9236.0299999999988</v>
      </c>
      <c r="O199" s="30">
        <f t="shared" si="4"/>
        <v>0</v>
      </c>
      <c r="P199" s="44" t="s">
        <v>6248</v>
      </c>
    </row>
    <row r="200" spans="2:16" ht="43.5" x14ac:dyDescent="0.35">
      <c r="B200" s="35" t="s">
        <v>2918</v>
      </c>
      <c r="C200" s="80" t="s">
        <v>3044</v>
      </c>
      <c r="D200" s="36">
        <v>44412</v>
      </c>
      <c r="E200" s="46">
        <v>44606</v>
      </c>
      <c r="F200" s="46">
        <v>45151</v>
      </c>
      <c r="G200" s="64" t="s">
        <v>4057</v>
      </c>
      <c r="H200" s="43" t="s">
        <v>1083</v>
      </c>
      <c r="I200" s="35" t="s">
        <v>2480</v>
      </c>
      <c r="J200" s="43" t="s">
        <v>3045</v>
      </c>
      <c r="K200" s="43" t="s">
        <v>3417</v>
      </c>
      <c r="L200" s="49">
        <v>50000</v>
      </c>
      <c r="M200" s="49">
        <v>26660</v>
      </c>
      <c r="N200" s="49">
        <v>0</v>
      </c>
      <c r="O200" s="30">
        <f t="shared" si="4"/>
        <v>23340</v>
      </c>
      <c r="P200" s="44" t="s">
        <v>2874</v>
      </c>
    </row>
    <row r="201" spans="2:16" ht="29" x14ac:dyDescent="0.35">
      <c r="B201" s="39" t="s">
        <v>2953</v>
      </c>
      <c r="C201" s="80" t="s">
        <v>3046</v>
      </c>
      <c r="D201" s="40">
        <v>44560</v>
      </c>
      <c r="E201" s="46">
        <v>44607</v>
      </c>
      <c r="F201" s="46">
        <v>45702</v>
      </c>
      <c r="G201" s="64" t="s">
        <v>6</v>
      </c>
      <c r="H201" s="38" t="s">
        <v>2954</v>
      </c>
      <c r="I201" s="35" t="s">
        <v>2507</v>
      </c>
      <c r="J201" s="38" t="s">
        <v>4537</v>
      </c>
      <c r="K201" s="38" t="s">
        <v>2583</v>
      </c>
      <c r="L201" s="45">
        <v>11500</v>
      </c>
      <c r="M201" s="30">
        <v>0</v>
      </c>
      <c r="N201" s="30">
        <v>0</v>
      </c>
      <c r="O201" s="30">
        <f t="shared" si="4"/>
        <v>11500</v>
      </c>
      <c r="P201" s="44">
        <v>31.2</v>
      </c>
    </row>
    <row r="202" spans="2:16" ht="29" x14ac:dyDescent="0.35">
      <c r="B202" s="39" t="s">
        <v>2955</v>
      </c>
      <c r="C202" s="80" t="s">
        <v>3047</v>
      </c>
      <c r="D202" s="40">
        <v>44560</v>
      </c>
      <c r="E202" s="46">
        <v>44607</v>
      </c>
      <c r="F202" s="46">
        <v>46432</v>
      </c>
      <c r="G202" s="64" t="s">
        <v>6</v>
      </c>
      <c r="H202" s="38" t="s">
        <v>2954</v>
      </c>
      <c r="I202" s="35" t="s">
        <v>2507</v>
      </c>
      <c r="J202" s="38" t="s">
        <v>4537</v>
      </c>
      <c r="K202" s="38" t="s">
        <v>2586</v>
      </c>
      <c r="L202" s="45">
        <v>156000</v>
      </c>
      <c r="M202" s="30">
        <v>0</v>
      </c>
      <c r="N202" s="30">
        <v>31680</v>
      </c>
      <c r="O202" s="30">
        <f t="shared" si="4"/>
        <v>124320</v>
      </c>
      <c r="P202" s="44">
        <v>31.2</v>
      </c>
    </row>
    <row r="203" spans="2:16" ht="29" x14ac:dyDescent="0.35">
      <c r="B203" s="39" t="s">
        <v>2960</v>
      </c>
      <c r="C203" s="104" t="s">
        <v>3048</v>
      </c>
      <c r="D203" s="40">
        <v>44560</v>
      </c>
      <c r="E203" s="46">
        <v>44607</v>
      </c>
      <c r="F203" s="46">
        <v>45702</v>
      </c>
      <c r="G203" s="64" t="s">
        <v>6</v>
      </c>
      <c r="H203" s="38" t="s">
        <v>2961</v>
      </c>
      <c r="I203" s="35" t="s">
        <v>2534</v>
      </c>
      <c r="J203" s="38" t="s">
        <v>4538</v>
      </c>
      <c r="K203" s="38" t="s">
        <v>2583</v>
      </c>
      <c r="L203" s="45">
        <v>150000</v>
      </c>
      <c r="M203" s="30">
        <v>0</v>
      </c>
      <c r="N203" s="30">
        <v>0</v>
      </c>
      <c r="O203" s="30">
        <f t="shared" si="4"/>
        <v>150000</v>
      </c>
      <c r="P203" s="44">
        <v>1.02</v>
      </c>
    </row>
    <row r="204" spans="2:16" ht="29" x14ac:dyDescent="0.35">
      <c r="B204" s="39" t="s">
        <v>2962</v>
      </c>
      <c r="C204" s="104" t="s">
        <v>3049</v>
      </c>
      <c r="D204" s="40">
        <v>44560</v>
      </c>
      <c r="E204" s="46">
        <v>44607</v>
      </c>
      <c r="F204" s="46">
        <v>46432</v>
      </c>
      <c r="G204" s="64" t="s">
        <v>6</v>
      </c>
      <c r="H204" s="38" t="s">
        <v>2961</v>
      </c>
      <c r="I204" s="35" t="s">
        <v>2534</v>
      </c>
      <c r="J204" s="38" t="s">
        <v>4538</v>
      </c>
      <c r="K204" s="38" t="s">
        <v>2586</v>
      </c>
      <c r="L204" s="45">
        <v>2100000</v>
      </c>
      <c r="M204" s="30">
        <v>0</v>
      </c>
      <c r="N204" s="30">
        <v>0</v>
      </c>
      <c r="O204" s="30">
        <f t="shared" si="4"/>
        <v>2100000</v>
      </c>
      <c r="P204" s="44">
        <v>1.02</v>
      </c>
    </row>
    <row r="205" spans="2:16" ht="29" x14ac:dyDescent="0.35">
      <c r="B205" s="39" t="s">
        <v>2951</v>
      </c>
      <c r="C205" s="104" t="s">
        <v>3050</v>
      </c>
      <c r="D205" s="40">
        <v>44560</v>
      </c>
      <c r="E205" s="46">
        <v>44616</v>
      </c>
      <c r="F205" s="46">
        <v>46441</v>
      </c>
      <c r="G205" s="64" t="s">
        <v>6</v>
      </c>
      <c r="H205" s="38" t="s">
        <v>2952</v>
      </c>
      <c r="I205" s="35" t="s">
        <v>2643</v>
      </c>
      <c r="J205" s="38" t="s">
        <v>4536</v>
      </c>
      <c r="K205" s="38" t="s">
        <v>2583</v>
      </c>
      <c r="L205" s="45">
        <v>250000</v>
      </c>
      <c r="M205" s="30">
        <v>0</v>
      </c>
      <c r="N205" s="30">
        <v>0</v>
      </c>
      <c r="O205" s="30">
        <f t="shared" si="4"/>
        <v>250000</v>
      </c>
      <c r="P205" s="44">
        <v>6.17</v>
      </c>
    </row>
    <row r="206" spans="2:16" x14ac:dyDescent="0.35">
      <c r="B206" s="35" t="s">
        <v>115</v>
      </c>
      <c r="C206" s="80" t="s">
        <v>3073</v>
      </c>
      <c r="D206" s="40">
        <v>43675</v>
      </c>
      <c r="E206" s="46">
        <v>44616</v>
      </c>
      <c r="F206" s="46">
        <v>45711</v>
      </c>
      <c r="G206" s="64" t="s">
        <v>6</v>
      </c>
      <c r="H206" s="43" t="s">
        <v>1806</v>
      </c>
      <c r="I206" s="35" t="s">
        <v>2534</v>
      </c>
      <c r="J206" s="38" t="s">
        <v>4552</v>
      </c>
      <c r="K206" s="38" t="s">
        <v>2573</v>
      </c>
      <c r="L206" s="49">
        <v>2000</v>
      </c>
      <c r="M206" s="49">
        <v>0</v>
      </c>
      <c r="N206" s="49">
        <v>0</v>
      </c>
      <c r="O206" s="30">
        <f t="shared" si="4"/>
        <v>2000</v>
      </c>
      <c r="P206" s="44" t="s">
        <v>2874</v>
      </c>
    </row>
    <row r="207" spans="2:16" x14ac:dyDescent="0.35">
      <c r="B207" s="35" t="s">
        <v>19</v>
      </c>
      <c r="C207" s="80" t="s">
        <v>3074</v>
      </c>
      <c r="D207" s="36">
        <v>43675</v>
      </c>
      <c r="E207" s="36">
        <v>44616</v>
      </c>
      <c r="F207" s="36">
        <v>44620</v>
      </c>
      <c r="G207" s="64" t="s">
        <v>6</v>
      </c>
      <c r="H207" s="43" t="s">
        <v>3075</v>
      </c>
      <c r="I207" s="35" t="s">
        <v>2782</v>
      </c>
      <c r="J207" s="38" t="s">
        <v>4561</v>
      </c>
      <c r="K207" s="38" t="s">
        <v>2573</v>
      </c>
      <c r="L207" s="49">
        <v>6740</v>
      </c>
      <c r="M207" s="49">
        <v>0</v>
      </c>
      <c r="N207" s="49">
        <v>0</v>
      </c>
      <c r="O207" s="30">
        <f t="shared" si="4"/>
        <v>6740</v>
      </c>
      <c r="P207" s="44" t="s">
        <v>2874</v>
      </c>
    </row>
    <row r="208" spans="2:16" x14ac:dyDescent="0.35">
      <c r="B208" s="35" t="s">
        <v>3112</v>
      </c>
      <c r="C208" s="80" t="s">
        <v>3113</v>
      </c>
      <c r="D208" s="36">
        <v>44412</v>
      </c>
      <c r="E208" s="36">
        <v>44616</v>
      </c>
      <c r="F208" s="36">
        <v>46022</v>
      </c>
      <c r="G208" s="64" t="s">
        <v>6</v>
      </c>
      <c r="H208" s="43" t="s">
        <v>3114</v>
      </c>
      <c r="I208" s="39" t="s">
        <v>3133</v>
      </c>
      <c r="J208" s="43" t="s">
        <v>5236</v>
      </c>
      <c r="K208" s="43" t="s">
        <v>3181</v>
      </c>
      <c r="L208" s="49">
        <v>40000</v>
      </c>
      <c r="M208" s="49">
        <v>0</v>
      </c>
      <c r="N208" s="49">
        <f>20000+5000+5000+5000</f>
        <v>35000</v>
      </c>
      <c r="O208" s="30">
        <f t="shared" si="4"/>
        <v>5000</v>
      </c>
      <c r="P208" s="44" t="s">
        <v>2874</v>
      </c>
    </row>
    <row r="209" spans="2:16" x14ac:dyDescent="0.35">
      <c r="B209" s="35" t="s">
        <v>3112</v>
      </c>
      <c r="C209" s="80" t="s">
        <v>3115</v>
      </c>
      <c r="D209" s="36">
        <v>44412</v>
      </c>
      <c r="E209" s="36">
        <v>44616</v>
      </c>
      <c r="F209" s="36">
        <v>46022</v>
      </c>
      <c r="G209" s="64" t="s">
        <v>6</v>
      </c>
      <c r="H209" s="43" t="s">
        <v>3116</v>
      </c>
      <c r="I209" s="35" t="s">
        <v>2508</v>
      </c>
      <c r="J209" s="43" t="s">
        <v>5236</v>
      </c>
      <c r="K209" s="43" t="s">
        <v>3181</v>
      </c>
      <c r="L209" s="49">
        <v>40000</v>
      </c>
      <c r="M209" s="49">
        <v>0</v>
      </c>
      <c r="N209" s="49">
        <v>15000</v>
      </c>
      <c r="O209" s="30">
        <f t="shared" si="4"/>
        <v>25000</v>
      </c>
      <c r="P209" s="44" t="s">
        <v>2874</v>
      </c>
    </row>
    <row r="210" spans="2:16" x14ac:dyDescent="0.35">
      <c r="B210" s="35" t="s">
        <v>3112</v>
      </c>
      <c r="C210" s="80" t="s">
        <v>3117</v>
      </c>
      <c r="D210" s="36">
        <v>44412</v>
      </c>
      <c r="E210" s="36">
        <v>44616</v>
      </c>
      <c r="F210" s="36">
        <v>46022</v>
      </c>
      <c r="G210" s="64" t="s">
        <v>6</v>
      </c>
      <c r="H210" s="43" t="s">
        <v>3118</v>
      </c>
      <c r="I210" s="35" t="s">
        <v>2540</v>
      </c>
      <c r="J210" s="43" t="s">
        <v>5236</v>
      </c>
      <c r="K210" s="43" t="s">
        <v>3181</v>
      </c>
      <c r="L210" s="49">
        <v>40000</v>
      </c>
      <c r="M210" s="49">
        <v>0</v>
      </c>
      <c r="N210" s="49">
        <f>20000+5000+5000</f>
        <v>30000</v>
      </c>
      <c r="O210" s="30">
        <f t="shared" si="4"/>
        <v>10000</v>
      </c>
      <c r="P210" s="44" t="s">
        <v>2874</v>
      </c>
    </row>
    <row r="211" spans="2:16" x14ac:dyDescent="0.35">
      <c r="B211" s="35" t="s">
        <v>3112</v>
      </c>
      <c r="C211" s="80" t="s">
        <v>3119</v>
      </c>
      <c r="D211" s="36">
        <v>44412</v>
      </c>
      <c r="E211" s="36">
        <v>44616</v>
      </c>
      <c r="F211" s="36">
        <v>46022</v>
      </c>
      <c r="G211" s="64" t="s">
        <v>6</v>
      </c>
      <c r="H211" s="43" t="s">
        <v>3120</v>
      </c>
      <c r="I211" s="35" t="s">
        <v>2498</v>
      </c>
      <c r="J211" s="43" t="s">
        <v>5236</v>
      </c>
      <c r="K211" s="43" t="s">
        <v>3181</v>
      </c>
      <c r="L211" s="49">
        <v>40000</v>
      </c>
      <c r="M211" s="49">
        <v>0</v>
      </c>
      <c r="N211" s="49">
        <f>20000+5000</f>
        <v>25000</v>
      </c>
      <c r="O211" s="30">
        <f t="shared" si="4"/>
        <v>15000</v>
      </c>
      <c r="P211" s="44" t="s">
        <v>2874</v>
      </c>
    </row>
    <row r="212" spans="2:16" ht="43.5" x14ac:dyDescent="0.35">
      <c r="B212" s="39" t="s">
        <v>2928</v>
      </c>
      <c r="C212" s="80" t="s">
        <v>3081</v>
      </c>
      <c r="D212" s="40">
        <v>44502</v>
      </c>
      <c r="E212" s="36">
        <v>44620</v>
      </c>
      <c r="F212" s="36">
        <v>45715</v>
      </c>
      <c r="G212" s="64" t="s">
        <v>5683</v>
      </c>
      <c r="H212" s="38" t="s">
        <v>197</v>
      </c>
      <c r="I212" s="35" t="s">
        <v>2507</v>
      </c>
      <c r="J212" s="38" t="s">
        <v>4528</v>
      </c>
      <c r="K212" s="38" t="s">
        <v>2584</v>
      </c>
      <c r="L212" s="45">
        <v>85000</v>
      </c>
      <c r="M212" s="30">
        <v>56150</v>
      </c>
      <c r="N212" s="30">
        <v>28850</v>
      </c>
      <c r="O212" s="30">
        <f t="shared" si="4"/>
        <v>0</v>
      </c>
      <c r="P212" s="44">
        <v>4.9800000000000004</v>
      </c>
    </row>
    <row r="213" spans="2:16" ht="43.5" x14ac:dyDescent="0.35">
      <c r="B213" s="39" t="s">
        <v>2929</v>
      </c>
      <c r="C213" s="80" t="s">
        <v>3078</v>
      </c>
      <c r="D213" s="40">
        <v>44502</v>
      </c>
      <c r="E213" s="36">
        <v>44620</v>
      </c>
      <c r="F213" s="36">
        <v>45715</v>
      </c>
      <c r="G213" s="64" t="s">
        <v>5683</v>
      </c>
      <c r="H213" s="38" t="s">
        <v>197</v>
      </c>
      <c r="I213" s="35" t="s">
        <v>2507</v>
      </c>
      <c r="J213" s="38" t="s">
        <v>4529</v>
      </c>
      <c r="K213" s="38" t="s">
        <v>2584</v>
      </c>
      <c r="L213" s="45">
        <v>340000</v>
      </c>
      <c r="M213" s="30">
        <v>133000</v>
      </c>
      <c r="N213" s="30">
        <v>207000</v>
      </c>
      <c r="O213" s="30">
        <f t="shared" si="4"/>
        <v>0</v>
      </c>
      <c r="P213" s="44">
        <v>4.8</v>
      </c>
    </row>
    <row r="214" spans="2:16" ht="43.5" x14ac:dyDescent="0.35">
      <c r="B214" s="39" t="s">
        <v>2930</v>
      </c>
      <c r="C214" s="80" t="s">
        <v>3080</v>
      </c>
      <c r="D214" s="40">
        <v>44502</v>
      </c>
      <c r="E214" s="36">
        <v>44620</v>
      </c>
      <c r="F214" s="36">
        <v>45715</v>
      </c>
      <c r="G214" s="64" t="s">
        <v>5683</v>
      </c>
      <c r="H214" s="38" t="s">
        <v>197</v>
      </c>
      <c r="I214" s="35" t="s">
        <v>2507</v>
      </c>
      <c r="J214" s="38" t="s">
        <v>4530</v>
      </c>
      <c r="K214" s="38" t="s">
        <v>2584</v>
      </c>
      <c r="L214" s="45">
        <v>714000</v>
      </c>
      <c r="M214" s="30">
        <v>321069</v>
      </c>
      <c r="N214" s="30">
        <f>195048+197883</f>
        <v>392931</v>
      </c>
      <c r="O214" s="30">
        <f t="shared" si="4"/>
        <v>0</v>
      </c>
      <c r="P214" s="44" t="s">
        <v>6674</v>
      </c>
    </row>
    <row r="215" spans="2:16" ht="43.5" x14ac:dyDescent="0.35">
      <c r="B215" s="39" t="s">
        <v>2947</v>
      </c>
      <c r="C215" s="80" t="s">
        <v>3077</v>
      </c>
      <c r="D215" s="40">
        <v>44560</v>
      </c>
      <c r="E215" s="36">
        <v>44620</v>
      </c>
      <c r="F215" s="36">
        <v>46445</v>
      </c>
      <c r="G215" s="64" t="s">
        <v>6</v>
      </c>
      <c r="H215" s="38" t="s">
        <v>2945</v>
      </c>
      <c r="I215" s="35" t="s">
        <v>2494</v>
      </c>
      <c r="J215" s="38" t="s">
        <v>2946</v>
      </c>
      <c r="K215" s="38" t="s">
        <v>2586</v>
      </c>
      <c r="L215" s="45">
        <v>44000</v>
      </c>
      <c r="M215" s="30">
        <v>0</v>
      </c>
      <c r="N215" s="30">
        <f>32955+3305</f>
        <v>36260</v>
      </c>
      <c r="O215" s="30">
        <f t="shared" si="4"/>
        <v>7740</v>
      </c>
      <c r="P215" s="44">
        <v>1</v>
      </c>
    </row>
    <row r="216" spans="2:16" ht="43.5" x14ac:dyDescent="0.35">
      <c r="B216" s="39" t="s">
        <v>2989</v>
      </c>
      <c r="C216" s="80" t="s">
        <v>3079</v>
      </c>
      <c r="D216" s="40">
        <v>44585</v>
      </c>
      <c r="E216" s="36">
        <v>44620</v>
      </c>
      <c r="F216" s="36">
        <v>45715</v>
      </c>
      <c r="G216" s="64" t="s">
        <v>5683</v>
      </c>
      <c r="H216" s="38" t="s">
        <v>197</v>
      </c>
      <c r="I216" s="35" t="s">
        <v>2507</v>
      </c>
      <c r="J216" s="38" t="s">
        <v>4544</v>
      </c>
      <c r="K216" s="38" t="s">
        <v>2584</v>
      </c>
      <c r="L216" s="45">
        <v>85000</v>
      </c>
      <c r="M216" s="30">
        <v>85000</v>
      </c>
      <c r="N216" s="30">
        <v>0</v>
      </c>
      <c r="O216" s="30">
        <f t="shared" si="4"/>
        <v>0</v>
      </c>
      <c r="P216" s="44">
        <v>4.9800000000000004</v>
      </c>
    </row>
    <row r="217" spans="2:16" ht="29" x14ac:dyDescent="0.35">
      <c r="B217" s="35" t="s">
        <v>2971</v>
      </c>
      <c r="C217" s="80" t="s">
        <v>3071</v>
      </c>
      <c r="D217" s="36">
        <v>44176</v>
      </c>
      <c r="E217" s="37">
        <v>44626</v>
      </c>
      <c r="F217" s="37">
        <v>46104</v>
      </c>
      <c r="G217" s="64" t="s">
        <v>6</v>
      </c>
      <c r="H217" s="43" t="s">
        <v>706</v>
      </c>
      <c r="I217" s="35" t="s">
        <v>2476</v>
      </c>
      <c r="J217" s="38" t="s">
        <v>2972</v>
      </c>
      <c r="K217" s="38" t="s">
        <v>2585</v>
      </c>
      <c r="L217" s="30">
        <v>765179</v>
      </c>
      <c r="M217" s="30">
        <v>0</v>
      </c>
      <c r="N217" s="30">
        <f>115397.65+80469.61</f>
        <v>195867.26</v>
      </c>
      <c r="O217" s="30">
        <f t="shared" si="4"/>
        <v>569311.74</v>
      </c>
      <c r="P217" s="44">
        <v>0.43</v>
      </c>
    </row>
    <row r="218" spans="2:16" x14ac:dyDescent="0.35">
      <c r="B218" s="39" t="s">
        <v>2936</v>
      </c>
      <c r="C218" s="80" t="s">
        <v>3083</v>
      </c>
      <c r="D218" s="40">
        <v>44560</v>
      </c>
      <c r="E218" s="36">
        <v>44629</v>
      </c>
      <c r="F218" s="36">
        <v>45724</v>
      </c>
      <c r="G218" s="64" t="s">
        <v>6</v>
      </c>
      <c r="H218" s="38" t="s">
        <v>1396</v>
      </c>
      <c r="I218" s="61" t="s">
        <v>2816</v>
      </c>
      <c r="J218" s="38" t="s">
        <v>4486</v>
      </c>
      <c r="K218" s="38" t="s">
        <v>2583</v>
      </c>
      <c r="L218" s="45">
        <v>27500</v>
      </c>
      <c r="M218" s="30">
        <v>0</v>
      </c>
      <c r="N218" s="30">
        <v>4500</v>
      </c>
      <c r="O218" s="30">
        <f t="shared" si="4"/>
        <v>23000</v>
      </c>
      <c r="P218" s="44">
        <v>238.92</v>
      </c>
    </row>
    <row r="219" spans="2:16" x14ac:dyDescent="0.35">
      <c r="B219" s="39" t="s">
        <v>2937</v>
      </c>
      <c r="C219" s="80" t="s">
        <v>3084</v>
      </c>
      <c r="D219" s="40">
        <v>44560</v>
      </c>
      <c r="E219" s="36">
        <v>44629</v>
      </c>
      <c r="F219" s="36">
        <v>46454</v>
      </c>
      <c r="G219" s="64" t="s">
        <v>6</v>
      </c>
      <c r="H219" s="38" t="s">
        <v>1396</v>
      </c>
      <c r="I219" s="61" t="s">
        <v>2816</v>
      </c>
      <c r="J219" s="38" t="s">
        <v>4486</v>
      </c>
      <c r="K219" s="38" t="s">
        <v>2586</v>
      </c>
      <c r="L219" s="45">
        <v>91922</v>
      </c>
      <c r="M219" s="30">
        <v>0</v>
      </c>
      <c r="N219" s="30">
        <v>57803.13</v>
      </c>
      <c r="O219" s="30">
        <f t="shared" si="4"/>
        <v>34118.870000000003</v>
      </c>
      <c r="P219" s="44">
        <v>238.92</v>
      </c>
    </row>
    <row r="220" spans="2:16" ht="43.5" x14ac:dyDescent="0.35">
      <c r="B220" s="39" t="s">
        <v>2995</v>
      </c>
      <c r="C220" s="80" t="s">
        <v>3082</v>
      </c>
      <c r="D220" s="40">
        <v>44585</v>
      </c>
      <c r="E220" s="36">
        <v>44631</v>
      </c>
      <c r="F220" s="36">
        <v>45726</v>
      </c>
      <c r="G220" s="64" t="s">
        <v>5683</v>
      </c>
      <c r="H220" s="38" t="s">
        <v>197</v>
      </c>
      <c r="I220" s="35" t="s">
        <v>2507</v>
      </c>
      <c r="J220" s="38" t="s">
        <v>4548</v>
      </c>
      <c r="K220" s="38" t="s">
        <v>2584</v>
      </c>
      <c r="L220" s="45">
        <v>656250</v>
      </c>
      <c r="M220" s="30">
        <v>22750</v>
      </c>
      <c r="N220" s="30">
        <f>196000+218750+218750</f>
        <v>633500</v>
      </c>
      <c r="O220" s="30">
        <f t="shared" si="4"/>
        <v>0</v>
      </c>
      <c r="P220" s="44" t="s">
        <v>6794</v>
      </c>
    </row>
    <row r="221" spans="2:16" x14ac:dyDescent="0.35">
      <c r="B221" s="39" t="s">
        <v>2983</v>
      </c>
      <c r="C221" s="80" t="s">
        <v>3085</v>
      </c>
      <c r="D221" s="40">
        <v>44582</v>
      </c>
      <c r="E221" s="36">
        <v>44636</v>
      </c>
      <c r="F221" s="36">
        <v>46461</v>
      </c>
      <c r="G221" s="64" t="s">
        <v>6</v>
      </c>
      <c r="H221" s="38" t="s">
        <v>3003</v>
      </c>
      <c r="I221" s="35" t="s">
        <v>2514</v>
      </c>
      <c r="J221" s="38" t="s">
        <v>4541</v>
      </c>
      <c r="K221" s="38" t="s">
        <v>2583</v>
      </c>
      <c r="L221" s="45">
        <v>28000</v>
      </c>
      <c r="M221" s="30">
        <v>0</v>
      </c>
      <c r="N221" s="30">
        <v>0</v>
      </c>
      <c r="O221" s="30">
        <f t="shared" si="4"/>
        <v>28000</v>
      </c>
      <c r="P221" s="44">
        <v>2.13</v>
      </c>
    </row>
    <row r="222" spans="2:16" x14ac:dyDescent="0.35">
      <c r="B222" s="35" t="s">
        <v>3112</v>
      </c>
      <c r="C222" s="80" t="s">
        <v>3121</v>
      </c>
      <c r="D222" s="36">
        <v>44412</v>
      </c>
      <c r="E222" s="36">
        <v>44636</v>
      </c>
      <c r="F222" s="36">
        <v>46022</v>
      </c>
      <c r="G222" s="64" t="s">
        <v>6</v>
      </c>
      <c r="H222" s="43" t="s">
        <v>3148</v>
      </c>
      <c r="I222" s="35" t="s">
        <v>2473</v>
      </c>
      <c r="J222" s="43" t="s">
        <v>5236</v>
      </c>
      <c r="K222" s="43" t="s">
        <v>3181</v>
      </c>
      <c r="L222" s="49">
        <v>40000</v>
      </c>
      <c r="M222" s="49">
        <v>0</v>
      </c>
      <c r="N222" s="49">
        <f>20000+5000</f>
        <v>25000</v>
      </c>
      <c r="O222" s="30">
        <f t="shared" si="4"/>
        <v>15000</v>
      </c>
      <c r="P222" s="44" t="s">
        <v>2874</v>
      </c>
    </row>
    <row r="223" spans="2:16" x14ac:dyDescent="0.35">
      <c r="B223" s="35" t="s">
        <v>3112</v>
      </c>
      <c r="C223" s="80" t="s">
        <v>3122</v>
      </c>
      <c r="D223" s="36">
        <v>44412</v>
      </c>
      <c r="E223" s="36">
        <v>44636</v>
      </c>
      <c r="F223" s="36">
        <v>46387</v>
      </c>
      <c r="G223" s="64" t="s">
        <v>6</v>
      </c>
      <c r="H223" s="43" t="s">
        <v>3123</v>
      </c>
      <c r="I223" s="35" t="s">
        <v>2653</v>
      </c>
      <c r="J223" s="43" t="s">
        <v>5236</v>
      </c>
      <c r="K223" s="43" t="s">
        <v>3181</v>
      </c>
      <c r="L223" s="49">
        <v>40000</v>
      </c>
      <c r="M223" s="49">
        <v>0</v>
      </c>
      <c r="N223" s="49">
        <f>20000+5000+5000+5000</f>
        <v>35000</v>
      </c>
      <c r="O223" s="30">
        <f t="shared" si="4"/>
        <v>5000</v>
      </c>
      <c r="P223" s="44" t="s">
        <v>2874</v>
      </c>
    </row>
    <row r="224" spans="2:16" x14ac:dyDescent="0.35">
      <c r="B224" s="39" t="s">
        <v>2924</v>
      </c>
      <c r="C224" s="80" t="s">
        <v>3127</v>
      </c>
      <c r="D224" s="40">
        <v>44502</v>
      </c>
      <c r="E224" s="36">
        <v>44644</v>
      </c>
      <c r="F224" s="36">
        <v>46469</v>
      </c>
      <c r="G224" s="64" t="s">
        <v>5683</v>
      </c>
      <c r="H224" s="38" t="s">
        <v>2925</v>
      </c>
      <c r="I224" s="35" t="s">
        <v>2492</v>
      </c>
      <c r="J224" s="43" t="s">
        <v>2926</v>
      </c>
      <c r="K224" s="43" t="s">
        <v>2583</v>
      </c>
      <c r="L224" s="45">
        <v>15000</v>
      </c>
      <c r="M224" s="30">
        <v>15000</v>
      </c>
      <c r="N224" s="30">
        <v>0</v>
      </c>
      <c r="O224" s="30">
        <f t="shared" si="4"/>
        <v>0</v>
      </c>
      <c r="P224" s="44">
        <v>13.6</v>
      </c>
    </row>
    <row r="225" spans="2:16" x14ac:dyDescent="0.35">
      <c r="B225" s="39" t="s">
        <v>2927</v>
      </c>
      <c r="C225" s="80" t="s">
        <v>3126</v>
      </c>
      <c r="D225" s="40">
        <v>44502</v>
      </c>
      <c r="E225" s="36">
        <v>44644</v>
      </c>
      <c r="F225" s="36">
        <v>46469</v>
      </c>
      <c r="G225" s="64" t="s">
        <v>5683</v>
      </c>
      <c r="H225" s="38" t="s">
        <v>2925</v>
      </c>
      <c r="I225" s="35" t="s">
        <v>2492</v>
      </c>
      <c r="J225" s="43" t="s">
        <v>2926</v>
      </c>
      <c r="K225" s="43" t="s">
        <v>2586</v>
      </c>
      <c r="L225" s="45">
        <v>207500</v>
      </c>
      <c r="M225" s="30">
        <v>14325.61</v>
      </c>
      <c r="N225" s="30">
        <v>193174.39</v>
      </c>
      <c r="O225" s="30">
        <f t="shared" si="4"/>
        <v>0</v>
      </c>
      <c r="P225" s="44">
        <v>13.6</v>
      </c>
    </row>
    <row r="226" spans="2:16" ht="43.5" x14ac:dyDescent="0.35">
      <c r="B226" s="39" t="s">
        <v>2999</v>
      </c>
      <c r="C226" s="80" t="s">
        <v>3156</v>
      </c>
      <c r="D226" s="40">
        <v>44587</v>
      </c>
      <c r="E226" s="36">
        <v>44644</v>
      </c>
      <c r="F226" s="36">
        <v>46469</v>
      </c>
      <c r="G226" s="64" t="s">
        <v>6</v>
      </c>
      <c r="H226" s="38" t="s">
        <v>3010</v>
      </c>
      <c r="I226" s="35" t="s">
        <v>2480</v>
      </c>
      <c r="J226" s="38" t="s">
        <v>4551</v>
      </c>
      <c r="K226" s="38" t="s">
        <v>2584</v>
      </c>
      <c r="L226" s="45">
        <v>2782875</v>
      </c>
      <c r="M226" s="30">
        <v>0</v>
      </c>
      <c r="N226" s="30">
        <f>86880+6120.11</f>
        <v>93000.11</v>
      </c>
      <c r="O226" s="30">
        <f t="shared" si="4"/>
        <v>2689874.89</v>
      </c>
      <c r="P226" s="44">
        <v>8.3500000000000005E-2</v>
      </c>
    </row>
    <row r="227" spans="2:16" ht="29" x14ac:dyDescent="0.35">
      <c r="B227" s="35" t="s">
        <v>2869</v>
      </c>
      <c r="C227" s="80" t="s">
        <v>3124</v>
      </c>
      <c r="D227" s="40">
        <v>44412</v>
      </c>
      <c r="E227" s="36">
        <v>44644</v>
      </c>
      <c r="F227" s="36">
        <v>45739</v>
      </c>
      <c r="G227" s="64" t="s">
        <v>6</v>
      </c>
      <c r="H227" s="43" t="s">
        <v>3125</v>
      </c>
      <c r="I227" s="35" t="s">
        <v>2492</v>
      </c>
      <c r="J227" s="43" t="s">
        <v>4569</v>
      </c>
      <c r="K227" s="43" t="s">
        <v>3384</v>
      </c>
      <c r="L227" s="49">
        <v>200000</v>
      </c>
      <c r="M227" s="49">
        <v>0</v>
      </c>
      <c r="N227" s="49">
        <v>0</v>
      </c>
      <c r="O227" s="30">
        <f t="shared" si="4"/>
        <v>200000</v>
      </c>
      <c r="P227" s="44" t="s">
        <v>2874</v>
      </c>
    </row>
    <row r="228" spans="2:16" ht="29" x14ac:dyDescent="0.35">
      <c r="B228" s="39" t="s">
        <v>2683</v>
      </c>
      <c r="C228" s="101" t="s">
        <v>3128</v>
      </c>
      <c r="D228" s="40">
        <v>44194</v>
      </c>
      <c r="E228" s="40">
        <v>44649</v>
      </c>
      <c r="F228" s="40">
        <v>46474</v>
      </c>
      <c r="G228" s="63" t="s">
        <v>6</v>
      </c>
      <c r="H228" s="38" t="s">
        <v>2658</v>
      </c>
      <c r="I228" s="39" t="s">
        <v>2483</v>
      </c>
      <c r="J228" s="38" t="s">
        <v>5238</v>
      </c>
      <c r="K228" s="38" t="s">
        <v>2583</v>
      </c>
      <c r="L228" s="31">
        <v>6281200</v>
      </c>
      <c r="M228" s="31">
        <v>0</v>
      </c>
      <c r="N228" s="31">
        <v>0</v>
      </c>
      <c r="O228" s="30">
        <f t="shared" si="4"/>
        <v>6281200</v>
      </c>
      <c r="P228" s="26">
        <v>5.6</v>
      </c>
    </row>
    <row r="229" spans="2:16" ht="29" x14ac:dyDescent="0.35">
      <c r="B229" s="39" t="s">
        <v>2682</v>
      </c>
      <c r="C229" s="101" t="s">
        <v>3129</v>
      </c>
      <c r="D229" s="40">
        <v>44194</v>
      </c>
      <c r="E229" s="40">
        <v>44649</v>
      </c>
      <c r="F229" s="40">
        <v>46474</v>
      </c>
      <c r="G229" s="63" t="s">
        <v>6</v>
      </c>
      <c r="H229" s="38" t="s">
        <v>2658</v>
      </c>
      <c r="I229" s="39" t="s">
        <v>2483</v>
      </c>
      <c r="J229" s="38" t="s">
        <v>5238</v>
      </c>
      <c r="K229" s="38" t="s">
        <v>2585</v>
      </c>
      <c r="L229" s="31">
        <v>3000000</v>
      </c>
      <c r="M229" s="31">
        <v>0</v>
      </c>
      <c r="N229" s="31">
        <v>0</v>
      </c>
      <c r="O229" s="30">
        <f t="shared" si="4"/>
        <v>3000000</v>
      </c>
      <c r="P229" s="26">
        <v>5.6</v>
      </c>
    </row>
    <row r="230" spans="2:16" x14ac:dyDescent="0.35">
      <c r="B230" s="39" t="s">
        <v>2993</v>
      </c>
      <c r="C230" s="80" t="s">
        <v>3131</v>
      </c>
      <c r="D230" s="40">
        <v>44585</v>
      </c>
      <c r="E230" s="36">
        <v>44651</v>
      </c>
      <c r="F230" s="36">
        <v>46476</v>
      </c>
      <c r="G230" s="64" t="s">
        <v>6</v>
      </c>
      <c r="H230" s="38" t="s">
        <v>3007</v>
      </c>
      <c r="I230" s="35" t="s">
        <v>3011</v>
      </c>
      <c r="J230" s="38" t="s">
        <v>4547</v>
      </c>
      <c r="K230" s="38" t="s">
        <v>2586</v>
      </c>
      <c r="L230" s="45">
        <v>150000</v>
      </c>
      <c r="M230" s="30">
        <v>0</v>
      </c>
      <c r="N230" s="30">
        <v>0</v>
      </c>
      <c r="O230" s="30">
        <f t="shared" si="4"/>
        <v>150000</v>
      </c>
      <c r="P230" s="44">
        <v>0.27</v>
      </c>
    </row>
    <row r="231" spans="2:16" x14ac:dyDescent="0.35">
      <c r="B231" s="39" t="s">
        <v>2994</v>
      </c>
      <c r="C231" s="80" t="s">
        <v>3130</v>
      </c>
      <c r="D231" s="40">
        <v>44585</v>
      </c>
      <c r="E231" s="36">
        <v>44651</v>
      </c>
      <c r="F231" s="36">
        <v>45746</v>
      </c>
      <c r="G231" s="64" t="s">
        <v>6</v>
      </c>
      <c r="H231" s="38" t="s">
        <v>3007</v>
      </c>
      <c r="I231" s="35" t="s">
        <v>3011</v>
      </c>
      <c r="J231" s="38" t="s">
        <v>4547</v>
      </c>
      <c r="K231" s="38" t="s">
        <v>2583</v>
      </c>
      <c r="L231" s="45">
        <v>6000</v>
      </c>
      <c r="M231" s="30">
        <v>0</v>
      </c>
      <c r="N231" s="30">
        <v>0</v>
      </c>
      <c r="O231" s="30">
        <f t="shared" si="4"/>
        <v>6000</v>
      </c>
      <c r="P231" s="44">
        <v>0.27</v>
      </c>
    </row>
    <row r="232" spans="2:16" x14ac:dyDescent="0.35">
      <c r="B232" s="35" t="s">
        <v>1951</v>
      </c>
      <c r="C232" s="80" t="s">
        <v>3111</v>
      </c>
      <c r="D232" s="40">
        <v>43404</v>
      </c>
      <c r="E232" s="36">
        <v>44657</v>
      </c>
      <c r="F232" s="36">
        <v>46632</v>
      </c>
      <c r="G232" s="64" t="s">
        <v>6</v>
      </c>
      <c r="H232" s="43" t="s">
        <v>2002</v>
      </c>
      <c r="I232" s="35" t="s">
        <v>2485</v>
      </c>
      <c r="J232" s="38" t="s">
        <v>3134</v>
      </c>
      <c r="K232" s="38" t="s">
        <v>3092</v>
      </c>
      <c r="L232" s="49">
        <v>209199</v>
      </c>
      <c r="M232" s="49">
        <v>0</v>
      </c>
      <c r="N232" s="49">
        <v>0</v>
      </c>
      <c r="O232" s="30">
        <f t="shared" si="4"/>
        <v>209199</v>
      </c>
      <c r="P232" s="44" t="s">
        <v>2874</v>
      </c>
    </row>
    <row r="233" spans="2:16" x14ac:dyDescent="0.35">
      <c r="B233" s="39" t="s">
        <v>2948</v>
      </c>
      <c r="C233" s="80" t="s">
        <v>3132</v>
      </c>
      <c r="D233" s="40">
        <v>44560</v>
      </c>
      <c r="E233" s="36">
        <v>44670</v>
      </c>
      <c r="F233" s="36">
        <v>46495</v>
      </c>
      <c r="G233" s="64" t="s">
        <v>6</v>
      </c>
      <c r="H233" s="38" t="s">
        <v>2949</v>
      </c>
      <c r="I233" s="39" t="s">
        <v>2528</v>
      </c>
      <c r="J233" s="38" t="s">
        <v>4535</v>
      </c>
      <c r="K233" s="38" t="s">
        <v>2583</v>
      </c>
      <c r="L233" s="45">
        <v>16000</v>
      </c>
      <c r="M233" s="30">
        <v>0</v>
      </c>
      <c r="N233" s="30">
        <v>0</v>
      </c>
      <c r="O233" s="30">
        <f t="shared" si="4"/>
        <v>16000</v>
      </c>
      <c r="P233" s="44">
        <v>6.46</v>
      </c>
    </row>
    <row r="234" spans="2:16" ht="29" x14ac:dyDescent="0.35">
      <c r="B234" s="39" t="s">
        <v>2956</v>
      </c>
      <c r="C234" s="80" t="s">
        <v>3143</v>
      </c>
      <c r="D234" s="40">
        <v>44560</v>
      </c>
      <c r="E234" s="36">
        <v>44672</v>
      </c>
      <c r="F234" s="36">
        <v>45767</v>
      </c>
      <c r="G234" s="64" t="s">
        <v>6</v>
      </c>
      <c r="H234" s="38" t="s">
        <v>2957</v>
      </c>
      <c r="I234" s="35" t="s">
        <v>2494</v>
      </c>
      <c r="J234" s="38" t="s">
        <v>2958</v>
      </c>
      <c r="K234" s="38" t="s">
        <v>2583</v>
      </c>
      <c r="L234" s="45">
        <v>9000</v>
      </c>
      <c r="M234" s="30">
        <v>0</v>
      </c>
      <c r="N234" s="30">
        <v>0</v>
      </c>
      <c r="O234" s="30">
        <f t="shared" si="4"/>
        <v>9000</v>
      </c>
      <c r="P234" s="44">
        <v>1.98</v>
      </c>
    </row>
    <row r="235" spans="2:16" ht="29" x14ac:dyDescent="0.35">
      <c r="B235" s="39" t="s">
        <v>2959</v>
      </c>
      <c r="C235" s="80" t="s">
        <v>3142</v>
      </c>
      <c r="D235" s="40">
        <v>44560</v>
      </c>
      <c r="E235" s="36">
        <v>44672</v>
      </c>
      <c r="F235" s="36">
        <v>46496</v>
      </c>
      <c r="G235" s="64" t="s">
        <v>6</v>
      </c>
      <c r="H235" s="38" t="s">
        <v>2957</v>
      </c>
      <c r="I235" s="35" t="s">
        <v>2494</v>
      </c>
      <c r="J235" s="38" t="s">
        <v>2958</v>
      </c>
      <c r="K235" s="38" t="s">
        <v>2586</v>
      </c>
      <c r="L235" s="45">
        <v>43900</v>
      </c>
      <c r="M235" s="30">
        <v>0</v>
      </c>
      <c r="N235" s="30">
        <v>43250</v>
      </c>
      <c r="O235" s="30">
        <f t="shared" si="4"/>
        <v>650</v>
      </c>
      <c r="P235" s="44">
        <v>1.98</v>
      </c>
    </row>
    <row r="236" spans="2:16" x14ac:dyDescent="0.35">
      <c r="B236" s="35" t="s">
        <v>3112</v>
      </c>
      <c r="C236" s="80" t="s">
        <v>3144</v>
      </c>
      <c r="D236" s="36">
        <v>44412</v>
      </c>
      <c r="E236" s="36">
        <v>44683</v>
      </c>
      <c r="F236" s="36">
        <v>45657</v>
      </c>
      <c r="G236" s="64" t="s">
        <v>6</v>
      </c>
      <c r="H236" s="43" t="s">
        <v>3145</v>
      </c>
      <c r="I236" s="35" t="s">
        <v>2804</v>
      </c>
      <c r="J236" s="43" t="s">
        <v>5236</v>
      </c>
      <c r="K236" s="43" t="s">
        <v>3181</v>
      </c>
      <c r="L236" s="49">
        <v>40000</v>
      </c>
      <c r="M236" s="49">
        <v>0</v>
      </c>
      <c r="N236" s="49">
        <f>15000+5000+5000</f>
        <v>25000</v>
      </c>
      <c r="O236" s="30">
        <f t="shared" si="4"/>
        <v>15000</v>
      </c>
      <c r="P236" s="44" t="s">
        <v>2874</v>
      </c>
    </row>
    <row r="237" spans="2:16" ht="29" x14ac:dyDescent="0.35">
      <c r="B237" s="39" t="s">
        <v>2984</v>
      </c>
      <c r="C237" s="80" t="s">
        <v>3157</v>
      </c>
      <c r="D237" s="40">
        <v>44585</v>
      </c>
      <c r="E237" s="36">
        <v>44684</v>
      </c>
      <c r="F237" s="36">
        <v>46144</v>
      </c>
      <c r="G237" s="64" t="s">
        <v>5683</v>
      </c>
      <c r="H237" s="38" t="s">
        <v>2301</v>
      </c>
      <c r="I237" s="35" t="s">
        <v>2521</v>
      </c>
      <c r="J237" s="38" t="s">
        <v>4542</v>
      </c>
      <c r="K237" s="38" t="s">
        <v>2583</v>
      </c>
      <c r="L237" s="45">
        <v>30000</v>
      </c>
      <c r="M237" s="30">
        <v>4666.82</v>
      </c>
      <c r="N237" s="30">
        <v>25333.18</v>
      </c>
      <c r="O237" s="30">
        <f t="shared" si="4"/>
        <v>0</v>
      </c>
      <c r="P237" s="44" t="s">
        <v>6364</v>
      </c>
    </row>
    <row r="238" spans="2:16" x14ac:dyDescent="0.35">
      <c r="B238" s="39" t="s">
        <v>2985</v>
      </c>
      <c r="C238" s="80" t="s">
        <v>3158</v>
      </c>
      <c r="D238" s="40">
        <v>44585</v>
      </c>
      <c r="E238" s="36">
        <v>44684</v>
      </c>
      <c r="F238" s="36">
        <v>46509</v>
      </c>
      <c r="G238" s="64" t="s">
        <v>6</v>
      </c>
      <c r="H238" s="38" t="s">
        <v>2301</v>
      </c>
      <c r="I238" s="35" t="s">
        <v>2521</v>
      </c>
      <c r="J238" s="38" t="s">
        <v>4542</v>
      </c>
      <c r="K238" s="38" t="s">
        <v>2586</v>
      </c>
      <c r="L238" s="45">
        <v>43000</v>
      </c>
      <c r="M238" s="30">
        <v>0</v>
      </c>
      <c r="N238" s="30">
        <f>29552+5900</f>
        <v>35452</v>
      </c>
      <c r="O238" s="30">
        <f t="shared" si="4"/>
        <v>7548</v>
      </c>
      <c r="P238" s="44">
        <v>0.45</v>
      </c>
    </row>
    <row r="239" spans="2:16" ht="29" x14ac:dyDescent="0.35">
      <c r="B239" s="35" t="s">
        <v>2869</v>
      </c>
      <c r="C239" s="80" t="s">
        <v>3231</v>
      </c>
      <c r="D239" s="40">
        <v>44412</v>
      </c>
      <c r="E239" s="36">
        <v>44692</v>
      </c>
      <c r="F239" s="36">
        <v>45787</v>
      </c>
      <c r="G239" s="64" t="s">
        <v>6</v>
      </c>
      <c r="H239" s="43" t="s">
        <v>3232</v>
      </c>
      <c r="I239" s="35" t="s">
        <v>2490</v>
      </c>
      <c r="J239" s="38" t="s">
        <v>4582</v>
      </c>
      <c r="K239" s="43" t="s">
        <v>3384</v>
      </c>
      <c r="L239" s="49">
        <v>100000</v>
      </c>
      <c r="M239" s="49">
        <v>0</v>
      </c>
      <c r="N239" s="49">
        <f>50000+25803.91+24196.09</f>
        <v>100000</v>
      </c>
      <c r="O239" s="30">
        <f t="shared" si="4"/>
        <v>0</v>
      </c>
      <c r="P239" s="44" t="s">
        <v>2874</v>
      </c>
    </row>
    <row r="240" spans="2:16" x14ac:dyDescent="0.35">
      <c r="B240" s="35" t="s">
        <v>2918</v>
      </c>
      <c r="C240" s="80" t="s">
        <v>3161</v>
      </c>
      <c r="D240" s="36">
        <v>44412</v>
      </c>
      <c r="E240" s="36">
        <v>44701</v>
      </c>
      <c r="F240" s="36">
        <v>45249</v>
      </c>
      <c r="G240" s="64" t="s">
        <v>6</v>
      </c>
      <c r="H240" s="43" t="s">
        <v>154</v>
      </c>
      <c r="I240" s="39" t="s">
        <v>2490</v>
      </c>
      <c r="J240" s="43" t="s">
        <v>4574</v>
      </c>
      <c r="K240" s="43" t="s">
        <v>3417</v>
      </c>
      <c r="L240" s="49">
        <v>50000</v>
      </c>
      <c r="M240" s="49">
        <v>0</v>
      </c>
      <c r="N240" s="49">
        <v>20428.3</v>
      </c>
      <c r="O240" s="30">
        <f t="shared" si="4"/>
        <v>29571.7</v>
      </c>
      <c r="P240" s="44" t="s">
        <v>2874</v>
      </c>
    </row>
    <row r="241" spans="2:16" x14ac:dyDescent="0.35">
      <c r="B241" s="39" t="s">
        <v>2986</v>
      </c>
      <c r="C241" s="80" t="s">
        <v>3162</v>
      </c>
      <c r="D241" s="40">
        <v>44585</v>
      </c>
      <c r="E241" s="36">
        <v>44704</v>
      </c>
      <c r="F241" s="36">
        <v>46529</v>
      </c>
      <c r="G241" s="64" t="s">
        <v>6</v>
      </c>
      <c r="H241" s="38" t="s">
        <v>3004</v>
      </c>
      <c r="I241" s="35" t="s">
        <v>2490</v>
      </c>
      <c r="J241" s="38" t="s">
        <v>3012</v>
      </c>
      <c r="K241" s="38" t="s">
        <v>2586</v>
      </c>
      <c r="L241" s="45">
        <v>200000</v>
      </c>
      <c r="M241" s="30">
        <v>0</v>
      </c>
      <c r="N241" s="30">
        <v>0</v>
      </c>
      <c r="O241" s="30">
        <f t="shared" si="4"/>
        <v>200000</v>
      </c>
      <c r="P241" s="44">
        <v>5.29</v>
      </c>
    </row>
    <row r="242" spans="2:16" x14ac:dyDescent="0.35">
      <c r="B242" s="39" t="s">
        <v>2987</v>
      </c>
      <c r="C242" s="80" t="s">
        <v>3163</v>
      </c>
      <c r="D242" s="40">
        <v>44585</v>
      </c>
      <c r="E242" s="36">
        <v>44704</v>
      </c>
      <c r="F242" s="56">
        <v>46529</v>
      </c>
      <c r="G242" s="64" t="s">
        <v>6</v>
      </c>
      <c r="H242" s="38" t="s">
        <v>3004</v>
      </c>
      <c r="I242" s="35" t="s">
        <v>2490</v>
      </c>
      <c r="J242" s="38" t="s">
        <v>3012</v>
      </c>
      <c r="K242" s="38" t="s">
        <v>2583</v>
      </c>
      <c r="L242" s="45">
        <v>84750</v>
      </c>
      <c r="M242" s="30">
        <v>0</v>
      </c>
      <c r="N242" s="30">
        <v>0</v>
      </c>
      <c r="O242" s="30">
        <f t="shared" si="4"/>
        <v>84750</v>
      </c>
      <c r="P242" s="44">
        <v>5.29</v>
      </c>
    </row>
    <row r="243" spans="2:16" x14ac:dyDescent="0.35">
      <c r="B243" s="39" t="s">
        <v>3018</v>
      </c>
      <c r="C243" s="80" t="s">
        <v>3166</v>
      </c>
      <c r="D243" s="40">
        <v>44589</v>
      </c>
      <c r="E243" s="68">
        <v>44706</v>
      </c>
      <c r="F243" s="36">
        <v>45801</v>
      </c>
      <c r="G243" s="64" t="s">
        <v>6</v>
      </c>
      <c r="H243" s="38" t="s">
        <v>3025</v>
      </c>
      <c r="I243" s="35" t="s">
        <v>2502</v>
      </c>
      <c r="J243" s="38" t="s">
        <v>4555</v>
      </c>
      <c r="K243" s="38" t="s">
        <v>2583</v>
      </c>
      <c r="L243" s="45">
        <v>4800</v>
      </c>
      <c r="M243" s="49">
        <v>0</v>
      </c>
      <c r="N243" s="49">
        <v>0</v>
      </c>
      <c r="O243" s="30">
        <f t="shared" si="4"/>
        <v>4800</v>
      </c>
      <c r="P243" s="44">
        <v>2.99</v>
      </c>
    </row>
    <row r="244" spans="2:16" x14ac:dyDescent="0.35">
      <c r="B244" s="39" t="s">
        <v>3019</v>
      </c>
      <c r="C244" s="80" t="s">
        <v>3167</v>
      </c>
      <c r="D244" s="40">
        <v>44589</v>
      </c>
      <c r="E244" s="36">
        <v>44706</v>
      </c>
      <c r="F244" s="36">
        <v>46531</v>
      </c>
      <c r="G244" s="64" t="s">
        <v>6</v>
      </c>
      <c r="H244" s="38" t="s">
        <v>3025</v>
      </c>
      <c r="I244" s="35" t="s">
        <v>2502</v>
      </c>
      <c r="J244" s="38" t="s">
        <v>4555</v>
      </c>
      <c r="K244" s="38" t="s">
        <v>2586</v>
      </c>
      <c r="L244" s="45">
        <v>50148</v>
      </c>
      <c r="M244" s="49">
        <v>0</v>
      </c>
      <c r="N244" s="49">
        <v>48050</v>
      </c>
      <c r="O244" s="30">
        <f t="shared" si="4"/>
        <v>2098</v>
      </c>
      <c r="P244" s="44">
        <v>2.99</v>
      </c>
    </row>
    <row r="245" spans="2:16" x14ac:dyDescent="0.35">
      <c r="B245" s="39" t="s">
        <v>2988</v>
      </c>
      <c r="C245" s="80" t="s">
        <v>3165</v>
      </c>
      <c r="D245" s="40">
        <v>44585</v>
      </c>
      <c r="E245" s="36">
        <v>44707</v>
      </c>
      <c r="F245" s="36">
        <v>46532</v>
      </c>
      <c r="G245" s="64" t="s">
        <v>6</v>
      </c>
      <c r="H245" s="38" t="s">
        <v>3005</v>
      </c>
      <c r="I245" s="35" t="s">
        <v>2521</v>
      </c>
      <c r="J245" s="38" t="s">
        <v>4543</v>
      </c>
      <c r="K245" s="38" t="s">
        <v>2586</v>
      </c>
      <c r="L245" s="45">
        <v>30000</v>
      </c>
      <c r="M245" s="30">
        <v>0</v>
      </c>
      <c r="N245" s="30">
        <v>8355.01</v>
      </c>
      <c r="O245" s="30">
        <f t="shared" si="4"/>
        <v>21644.989999999998</v>
      </c>
      <c r="P245" s="44">
        <v>1.02</v>
      </c>
    </row>
    <row r="246" spans="2:16" x14ac:dyDescent="0.35">
      <c r="B246" s="39" t="s">
        <v>2820</v>
      </c>
      <c r="C246" s="80" t="s">
        <v>3171</v>
      </c>
      <c r="D246" s="40">
        <v>44453</v>
      </c>
      <c r="E246" s="36">
        <v>44712</v>
      </c>
      <c r="F246" s="36">
        <v>46537</v>
      </c>
      <c r="G246" s="64" t="s">
        <v>6</v>
      </c>
      <c r="H246" s="38" t="s">
        <v>2821</v>
      </c>
      <c r="I246" s="39" t="s">
        <v>2474</v>
      </c>
      <c r="J246" s="38" t="s">
        <v>4521</v>
      </c>
      <c r="K246" s="38" t="s">
        <v>2586</v>
      </c>
      <c r="L246" s="45">
        <v>42338</v>
      </c>
      <c r="M246" s="30">
        <v>0</v>
      </c>
      <c r="N246" s="30">
        <f>7500</f>
        <v>7500</v>
      </c>
      <c r="O246" s="30">
        <f t="shared" si="4"/>
        <v>34838</v>
      </c>
      <c r="P246" s="44">
        <v>14.41</v>
      </c>
    </row>
    <row r="247" spans="2:16" x14ac:dyDescent="0.35">
      <c r="B247" s="39" t="s">
        <v>2822</v>
      </c>
      <c r="C247" s="80" t="s">
        <v>3172</v>
      </c>
      <c r="D247" s="40">
        <v>44453</v>
      </c>
      <c r="E247" s="36">
        <v>44712</v>
      </c>
      <c r="F247" s="36">
        <v>45807</v>
      </c>
      <c r="G247" s="64" t="s">
        <v>5683</v>
      </c>
      <c r="H247" s="38" t="s">
        <v>2821</v>
      </c>
      <c r="I247" s="39" t="s">
        <v>2474</v>
      </c>
      <c r="J247" s="38" t="s">
        <v>4521</v>
      </c>
      <c r="K247" s="38" t="s">
        <v>2584</v>
      </c>
      <c r="L247" s="45">
        <v>26250</v>
      </c>
      <c r="M247" s="30">
        <v>26250</v>
      </c>
      <c r="N247" s="30">
        <v>0</v>
      </c>
      <c r="O247" s="30">
        <f t="shared" si="4"/>
        <v>0</v>
      </c>
      <c r="P247" s="44">
        <v>14.41</v>
      </c>
    </row>
    <row r="248" spans="2:16" x14ac:dyDescent="0.35">
      <c r="B248" s="39" t="s">
        <v>3058</v>
      </c>
      <c r="C248" s="80" t="s">
        <v>3170</v>
      </c>
      <c r="D248" s="40">
        <v>44634</v>
      </c>
      <c r="E248" s="36">
        <v>44713</v>
      </c>
      <c r="F248" s="36">
        <v>46538</v>
      </c>
      <c r="G248" s="64" t="s">
        <v>6</v>
      </c>
      <c r="H248" s="38" t="s">
        <v>3065</v>
      </c>
      <c r="I248" s="35" t="s">
        <v>2498</v>
      </c>
      <c r="J248" s="38" t="s">
        <v>4559</v>
      </c>
      <c r="K248" s="38" t="s">
        <v>2583</v>
      </c>
      <c r="L248" s="45">
        <v>4500</v>
      </c>
      <c r="M248" s="49">
        <v>0</v>
      </c>
      <c r="N248" s="49">
        <v>0</v>
      </c>
      <c r="O248" s="30">
        <f t="shared" si="4"/>
        <v>4500</v>
      </c>
      <c r="P248" s="44">
        <v>21.41</v>
      </c>
    </row>
    <row r="249" spans="2:16" x14ac:dyDescent="0.35">
      <c r="B249" s="39" t="s">
        <v>3059</v>
      </c>
      <c r="C249" s="80" t="s">
        <v>3168</v>
      </c>
      <c r="D249" s="40">
        <v>44634</v>
      </c>
      <c r="E249" s="36">
        <v>44713</v>
      </c>
      <c r="F249" s="36">
        <v>46173</v>
      </c>
      <c r="G249" s="64" t="s">
        <v>6</v>
      </c>
      <c r="H249" s="38" t="s">
        <v>3066</v>
      </c>
      <c r="I249" s="35" t="s">
        <v>2494</v>
      </c>
      <c r="J249" s="43" t="s">
        <v>4560</v>
      </c>
      <c r="K249" s="43" t="s">
        <v>3186</v>
      </c>
      <c r="L249" s="45">
        <v>21000</v>
      </c>
      <c r="M249" s="49">
        <v>0</v>
      </c>
      <c r="N249" s="49">
        <v>0</v>
      </c>
      <c r="O249" s="30">
        <f t="shared" si="4"/>
        <v>21000</v>
      </c>
      <c r="P249" s="44">
        <v>1.33</v>
      </c>
    </row>
    <row r="250" spans="2:16" x14ac:dyDescent="0.35">
      <c r="B250" s="39" t="s">
        <v>3060</v>
      </c>
      <c r="C250" s="80" t="s">
        <v>3169</v>
      </c>
      <c r="D250" s="40">
        <v>44634</v>
      </c>
      <c r="E250" s="36">
        <v>44713</v>
      </c>
      <c r="F250" s="36">
        <v>46538</v>
      </c>
      <c r="G250" s="64" t="s">
        <v>6</v>
      </c>
      <c r="H250" s="38" t="s">
        <v>3066</v>
      </c>
      <c r="I250" s="35" t="s">
        <v>2494</v>
      </c>
      <c r="J250" s="38" t="s">
        <v>4560</v>
      </c>
      <c r="K250" s="38" t="s">
        <v>2586</v>
      </c>
      <c r="L250" s="45">
        <v>100000</v>
      </c>
      <c r="M250" s="49">
        <v>0</v>
      </c>
      <c r="N250" s="49">
        <v>0</v>
      </c>
      <c r="O250" s="30">
        <f t="shared" si="4"/>
        <v>100000</v>
      </c>
      <c r="P250" s="44">
        <v>1.33</v>
      </c>
    </row>
    <row r="251" spans="2:16" ht="29" x14ac:dyDescent="0.35">
      <c r="B251" s="35" t="s">
        <v>2918</v>
      </c>
      <c r="C251" s="80" t="s">
        <v>3493</v>
      </c>
      <c r="D251" s="36">
        <v>44412</v>
      </c>
      <c r="E251" s="36">
        <v>44725</v>
      </c>
      <c r="F251" s="36">
        <v>45272</v>
      </c>
      <c r="G251" s="64" t="s">
        <v>6</v>
      </c>
      <c r="H251" s="43" t="s">
        <v>3494</v>
      </c>
      <c r="I251" s="35" t="s">
        <v>2480</v>
      </c>
      <c r="J251" s="43" t="s">
        <v>4608</v>
      </c>
      <c r="K251" s="43" t="s">
        <v>3417</v>
      </c>
      <c r="L251" s="30">
        <v>50000</v>
      </c>
      <c r="M251" s="30">
        <v>0</v>
      </c>
      <c r="N251" s="30">
        <f>1250+14926.59+21406.26</f>
        <v>37582.85</v>
      </c>
      <c r="O251" s="30">
        <f t="shared" si="4"/>
        <v>12417.150000000001</v>
      </c>
      <c r="P251" s="44" t="s">
        <v>2874</v>
      </c>
    </row>
    <row r="252" spans="2:16" x14ac:dyDescent="0.35">
      <c r="B252" s="35" t="s">
        <v>3159</v>
      </c>
      <c r="C252" s="80" t="s">
        <v>3173</v>
      </c>
      <c r="D252" s="40">
        <v>44412</v>
      </c>
      <c r="E252" s="36">
        <v>44727</v>
      </c>
      <c r="F252" s="36">
        <v>45091</v>
      </c>
      <c r="G252" s="64" t="s">
        <v>6</v>
      </c>
      <c r="H252" s="43" t="s">
        <v>3174</v>
      </c>
      <c r="I252" s="35" t="s">
        <v>2494</v>
      </c>
      <c r="J252" s="43" t="s">
        <v>3180</v>
      </c>
      <c r="K252" s="43" t="s">
        <v>3183</v>
      </c>
      <c r="L252" s="49">
        <v>4974.0200000000004</v>
      </c>
      <c r="M252" s="49">
        <v>0</v>
      </c>
      <c r="N252" s="49">
        <v>0</v>
      </c>
      <c r="O252" s="30">
        <f t="shared" si="4"/>
        <v>4974.0200000000004</v>
      </c>
      <c r="P252" s="43" t="s">
        <v>2874</v>
      </c>
    </row>
    <row r="253" spans="2:16" x14ac:dyDescent="0.35">
      <c r="B253" s="39" t="s">
        <v>3135</v>
      </c>
      <c r="C253" s="80" t="s">
        <v>3175</v>
      </c>
      <c r="D253" s="40">
        <v>44680</v>
      </c>
      <c r="E253" s="36">
        <v>44733</v>
      </c>
      <c r="F253" s="36">
        <v>46558</v>
      </c>
      <c r="G253" s="64" t="s">
        <v>6</v>
      </c>
      <c r="H253" s="38" t="s">
        <v>3139</v>
      </c>
      <c r="I253" s="35" t="s">
        <v>2484</v>
      </c>
      <c r="J253" s="38" t="s">
        <v>4570</v>
      </c>
      <c r="K253" s="38" t="s">
        <v>2583</v>
      </c>
      <c r="L253" s="45">
        <v>18750</v>
      </c>
      <c r="M253" s="49">
        <v>0</v>
      </c>
      <c r="N253" s="49">
        <v>1350</v>
      </c>
      <c r="O253" s="30">
        <f t="shared" si="4"/>
        <v>17400</v>
      </c>
      <c r="P253" s="44">
        <v>3.63</v>
      </c>
    </row>
    <row r="254" spans="2:16" x14ac:dyDescent="0.35">
      <c r="B254" s="39" t="s">
        <v>3136</v>
      </c>
      <c r="C254" s="80" t="s">
        <v>3176</v>
      </c>
      <c r="D254" s="40">
        <v>44680</v>
      </c>
      <c r="E254" s="36">
        <v>44733</v>
      </c>
      <c r="F254" s="36">
        <v>46558</v>
      </c>
      <c r="G254" s="64" t="s">
        <v>6</v>
      </c>
      <c r="H254" s="38" t="s">
        <v>3139</v>
      </c>
      <c r="I254" s="35" t="s">
        <v>2484</v>
      </c>
      <c r="J254" s="38" t="s">
        <v>4570</v>
      </c>
      <c r="K254" s="38" t="s">
        <v>2586</v>
      </c>
      <c r="L254" s="45">
        <v>102500</v>
      </c>
      <c r="M254" s="49">
        <v>0</v>
      </c>
      <c r="N254" s="49">
        <f>51523.5+39975.47</f>
        <v>91498.97</v>
      </c>
      <c r="O254" s="30">
        <f t="shared" si="4"/>
        <v>11001.029999999999</v>
      </c>
      <c r="P254" s="44">
        <v>3.63</v>
      </c>
    </row>
    <row r="255" spans="2:16" ht="29" x14ac:dyDescent="0.35">
      <c r="B255" s="35" t="s">
        <v>2918</v>
      </c>
      <c r="C255" s="80" t="s">
        <v>3495</v>
      </c>
      <c r="D255" s="36">
        <v>44412</v>
      </c>
      <c r="E255" s="36">
        <v>44733</v>
      </c>
      <c r="F255" s="36">
        <v>45280</v>
      </c>
      <c r="G255" s="64" t="s">
        <v>5683</v>
      </c>
      <c r="H255" s="43" t="s">
        <v>1272</v>
      </c>
      <c r="I255" s="35" t="s">
        <v>3333</v>
      </c>
      <c r="J255" s="43" t="s">
        <v>4609</v>
      </c>
      <c r="K255" s="43" t="s">
        <v>3417</v>
      </c>
      <c r="L255" s="30">
        <v>32500</v>
      </c>
      <c r="M255" s="30">
        <v>26841.78</v>
      </c>
      <c r="N255" s="30">
        <v>5658.22</v>
      </c>
      <c r="O255" s="30">
        <f t="shared" si="4"/>
        <v>0</v>
      </c>
      <c r="P255" s="44" t="s">
        <v>6248</v>
      </c>
    </row>
    <row r="256" spans="2:16" x14ac:dyDescent="0.35">
      <c r="B256" s="39" t="s">
        <v>2766</v>
      </c>
      <c r="C256" s="101" t="s">
        <v>3187</v>
      </c>
      <c r="D256" s="40">
        <v>44356</v>
      </c>
      <c r="E256" s="40">
        <v>44735</v>
      </c>
      <c r="F256" s="40">
        <v>46560</v>
      </c>
      <c r="G256" s="63" t="s">
        <v>6</v>
      </c>
      <c r="H256" s="38" t="s">
        <v>2778</v>
      </c>
      <c r="I256" s="39" t="s">
        <v>2480</v>
      </c>
      <c r="J256" s="38" t="s">
        <v>2572</v>
      </c>
      <c r="K256" s="38" t="s">
        <v>2583</v>
      </c>
      <c r="L256" s="31">
        <v>225000</v>
      </c>
      <c r="M256" s="31">
        <v>0</v>
      </c>
      <c r="N256" s="31">
        <v>0</v>
      </c>
      <c r="O256" s="30">
        <f t="shared" si="4"/>
        <v>225000</v>
      </c>
      <c r="P256" s="26">
        <v>2.12</v>
      </c>
    </row>
    <row r="257" spans="2:16" ht="29" x14ac:dyDescent="0.35">
      <c r="B257" s="35" t="s">
        <v>139</v>
      </c>
      <c r="C257" s="80" t="s">
        <v>3188</v>
      </c>
      <c r="D257" s="36">
        <v>43675</v>
      </c>
      <c r="E257" s="36">
        <v>44736</v>
      </c>
      <c r="F257" s="36">
        <v>45100</v>
      </c>
      <c r="G257" s="64" t="s">
        <v>5683</v>
      </c>
      <c r="H257" s="43" t="s">
        <v>1077</v>
      </c>
      <c r="I257" s="35" t="s">
        <v>2804</v>
      </c>
      <c r="J257" s="38" t="s">
        <v>4575</v>
      </c>
      <c r="K257" s="38" t="s">
        <v>2592</v>
      </c>
      <c r="L257" s="49">
        <v>38780</v>
      </c>
      <c r="M257" s="49">
        <v>23019.64</v>
      </c>
      <c r="N257" s="49">
        <v>15760.359999999999</v>
      </c>
      <c r="O257" s="30">
        <f t="shared" si="4"/>
        <v>0</v>
      </c>
      <c r="P257" s="44" t="s">
        <v>6249</v>
      </c>
    </row>
    <row r="258" spans="2:16" x14ac:dyDescent="0.35">
      <c r="B258" s="39" t="s">
        <v>2679</v>
      </c>
      <c r="C258" s="101" t="s">
        <v>3190</v>
      </c>
      <c r="D258" s="40">
        <v>44175</v>
      </c>
      <c r="E258" s="40">
        <v>44739</v>
      </c>
      <c r="F258" s="40">
        <v>46564</v>
      </c>
      <c r="G258" s="63" t="s">
        <v>6</v>
      </c>
      <c r="H258" s="38" t="s">
        <v>2636</v>
      </c>
      <c r="I258" s="39" t="s">
        <v>2473</v>
      </c>
      <c r="J258" s="38" t="s">
        <v>4506</v>
      </c>
      <c r="K258" s="38" t="s">
        <v>2583</v>
      </c>
      <c r="L258" s="31">
        <v>66000</v>
      </c>
      <c r="M258" s="31">
        <v>0</v>
      </c>
      <c r="N258" s="31">
        <f>18000+7500</f>
        <v>25500</v>
      </c>
      <c r="O258" s="30">
        <f t="shared" si="4"/>
        <v>40500</v>
      </c>
      <c r="P258" s="26">
        <v>2.91</v>
      </c>
    </row>
    <row r="259" spans="2:16" x14ac:dyDescent="0.35">
      <c r="B259" s="39" t="s">
        <v>2680</v>
      </c>
      <c r="C259" s="101" t="s">
        <v>3191</v>
      </c>
      <c r="D259" s="40">
        <v>44175</v>
      </c>
      <c r="E259" s="40">
        <v>44739</v>
      </c>
      <c r="F259" s="40">
        <v>46564</v>
      </c>
      <c r="G259" s="63" t="s">
        <v>6</v>
      </c>
      <c r="H259" s="38" t="s">
        <v>2636</v>
      </c>
      <c r="I259" s="39" t="s">
        <v>2473</v>
      </c>
      <c r="J259" s="38" t="s">
        <v>4506</v>
      </c>
      <c r="K259" s="38" t="s">
        <v>2586</v>
      </c>
      <c r="L259" s="31">
        <v>125000</v>
      </c>
      <c r="M259" s="31">
        <v>0</v>
      </c>
      <c r="N259" s="31">
        <v>41382.82</v>
      </c>
      <c r="O259" s="30">
        <f t="shared" si="4"/>
        <v>83617.179999999993</v>
      </c>
      <c r="P259" s="26">
        <v>2.91</v>
      </c>
    </row>
    <row r="260" spans="2:16" ht="29" x14ac:dyDescent="0.35">
      <c r="B260" s="39" t="s">
        <v>3054</v>
      </c>
      <c r="C260" s="80" t="s">
        <v>3233</v>
      </c>
      <c r="D260" s="40">
        <v>44634</v>
      </c>
      <c r="E260" s="36">
        <v>44739</v>
      </c>
      <c r="F260" s="36">
        <v>46564</v>
      </c>
      <c r="G260" s="64" t="s">
        <v>6</v>
      </c>
      <c r="H260" s="38" t="s">
        <v>3063</v>
      </c>
      <c r="I260" s="35" t="s">
        <v>3011</v>
      </c>
      <c r="J260" s="38" t="s">
        <v>4559</v>
      </c>
      <c r="K260" s="38" t="s">
        <v>2583</v>
      </c>
      <c r="L260" s="45">
        <v>2100</v>
      </c>
      <c r="M260" s="49">
        <v>0</v>
      </c>
      <c r="N260" s="49">
        <v>0</v>
      </c>
      <c r="O260" s="30">
        <f t="shared" si="4"/>
        <v>2100</v>
      </c>
      <c r="P260" s="44">
        <v>25.22</v>
      </c>
    </row>
    <row r="261" spans="2:16" ht="29" x14ac:dyDescent="0.35">
      <c r="B261" s="39" t="s">
        <v>3055</v>
      </c>
      <c r="C261" s="80" t="s">
        <v>3234</v>
      </c>
      <c r="D261" s="40">
        <v>44634</v>
      </c>
      <c r="E261" s="36">
        <v>44739</v>
      </c>
      <c r="F261" s="36">
        <v>46564</v>
      </c>
      <c r="G261" s="64" t="s">
        <v>6</v>
      </c>
      <c r="H261" s="38" t="s">
        <v>3063</v>
      </c>
      <c r="I261" s="35" t="s">
        <v>3011</v>
      </c>
      <c r="J261" s="38" t="s">
        <v>4559</v>
      </c>
      <c r="K261" s="38" t="s">
        <v>2586</v>
      </c>
      <c r="L261" s="45">
        <v>17350</v>
      </c>
      <c r="M261" s="49">
        <v>0</v>
      </c>
      <c r="N261" s="49">
        <v>0</v>
      </c>
      <c r="O261" s="30">
        <f t="shared" ref="O261:O324" si="5">L261-M261-N261</f>
        <v>17350</v>
      </c>
      <c r="P261" s="44">
        <v>25.22</v>
      </c>
    </row>
    <row r="262" spans="2:16" x14ac:dyDescent="0.35">
      <c r="B262" s="39" t="s">
        <v>2992</v>
      </c>
      <c r="C262" s="80" t="s">
        <v>3195</v>
      </c>
      <c r="D262" s="40">
        <v>44585</v>
      </c>
      <c r="E262" s="36">
        <v>44743</v>
      </c>
      <c r="F262" s="36">
        <v>46568</v>
      </c>
      <c r="G262" s="64" t="s">
        <v>6</v>
      </c>
      <c r="H262" s="38" t="s">
        <v>290</v>
      </c>
      <c r="I262" s="35" t="s">
        <v>2474</v>
      </c>
      <c r="J262" s="38" t="s">
        <v>4546</v>
      </c>
      <c r="K262" s="38" t="s">
        <v>2584</v>
      </c>
      <c r="L262" s="45">
        <v>7270000</v>
      </c>
      <c r="M262" s="30">
        <v>0</v>
      </c>
      <c r="N262" s="30">
        <v>6233351.9299999997</v>
      </c>
      <c r="O262" s="30">
        <f t="shared" si="5"/>
        <v>1036648.0700000003</v>
      </c>
      <c r="P262" s="44">
        <v>11.92</v>
      </c>
    </row>
    <row r="263" spans="2:16" x14ac:dyDescent="0.35">
      <c r="B263" s="35" t="s">
        <v>3051</v>
      </c>
      <c r="C263" s="80" t="s">
        <v>3194</v>
      </c>
      <c r="D263" s="36">
        <v>44585</v>
      </c>
      <c r="E263" s="36">
        <v>44743</v>
      </c>
      <c r="F263" s="36">
        <v>46568</v>
      </c>
      <c r="G263" s="64" t="s">
        <v>6</v>
      </c>
      <c r="H263" s="38" t="s">
        <v>290</v>
      </c>
      <c r="I263" s="35" t="s">
        <v>2474</v>
      </c>
      <c r="J263" s="38" t="s">
        <v>4546</v>
      </c>
      <c r="K263" s="38" t="s">
        <v>2583</v>
      </c>
      <c r="L263" s="49">
        <v>140000</v>
      </c>
      <c r="M263" s="49">
        <v>0</v>
      </c>
      <c r="N263" s="49">
        <v>20300</v>
      </c>
      <c r="O263" s="30">
        <f t="shared" si="5"/>
        <v>119700</v>
      </c>
      <c r="P263" s="44">
        <v>11.92</v>
      </c>
    </row>
    <row r="264" spans="2:16" ht="29" x14ac:dyDescent="0.35">
      <c r="B264" s="35" t="s">
        <v>2918</v>
      </c>
      <c r="C264" s="80" t="s">
        <v>3192</v>
      </c>
      <c r="D264" s="36">
        <v>44412</v>
      </c>
      <c r="E264" s="36">
        <v>44743</v>
      </c>
      <c r="F264" s="36">
        <v>45291</v>
      </c>
      <c r="G264" s="64" t="s">
        <v>5683</v>
      </c>
      <c r="H264" s="43" t="s">
        <v>3193</v>
      </c>
      <c r="I264" s="35" t="s">
        <v>2518</v>
      </c>
      <c r="J264" s="43" t="s">
        <v>3070</v>
      </c>
      <c r="K264" s="43" t="s">
        <v>3417</v>
      </c>
      <c r="L264" s="49">
        <v>50000</v>
      </c>
      <c r="M264" s="49">
        <v>50000</v>
      </c>
      <c r="N264" s="49">
        <v>0</v>
      </c>
      <c r="O264" s="30">
        <f t="shared" si="5"/>
        <v>0</v>
      </c>
      <c r="P264" s="44" t="s">
        <v>6248</v>
      </c>
    </row>
    <row r="265" spans="2:16" x14ac:dyDescent="0.35">
      <c r="B265" s="35" t="s">
        <v>2918</v>
      </c>
      <c r="C265" s="80" t="s">
        <v>3235</v>
      </c>
      <c r="D265" s="36">
        <v>44412</v>
      </c>
      <c r="E265" s="36">
        <v>44756</v>
      </c>
      <c r="F265" s="36">
        <v>45304</v>
      </c>
      <c r="G265" s="64" t="s">
        <v>6</v>
      </c>
      <c r="H265" s="43" t="s">
        <v>1289</v>
      </c>
      <c r="I265" s="35" t="s">
        <v>2480</v>
      </c>
      <c r="J265" s="43" t="s">
        <v>4583</v>
      </c>
      <c r="K265" s="43" t="s">
        <v>3417</v>
      </c>
      <c r="L265" s="49">
        <v>50000</v>
      </c>
      <c r="M265" s="49">
        <v>0</v>
      </c>
      <c r="N265" s="49">
        <v>0</v>
      </c>
      <c r="O265" s="30">
        <f t="shared" si="5"/>
        <v>50000</v>
      </c>
      <c r="P265" s="44" t="s">
        <v>2874</v>
      </c>
    </row>
    <row r="266" spans="2:16" x14ac:dyDescent="0.35">
      <c r="B266" s="39" t="s">
        <v>3095</v>
      </c>
      <c r="C266" s="80" t="s">
        <v>3197</v>
      </c>
      <c r="D266" s="40">
        <v>44672</v>
      </c>
      <c r="E266" s="36">
        <v>44757</v>
      </c>
      <c r="F266" s="36">
        <v>46582</v>
      </c>
      <c r="G266" s="64" t="s">
        <v>6</v>
      </c>
      <c r="H266" s="38" t="s">
        <v>2795</v>
      </c>
      <c r="I266" s="35" t="s">
        <v>2484</v>
      </c>
      <c r="J266" s="38" t="s">
        <v>4563</v>
      </c>
      <c r="K266" s="38" t="s">
        <v>2583</v>
      </c>
      <c r="L266" s="45">
        <v>10000</v>
      </c>
      <c r="M266" s="49">
        <v>0</v>
      </c>
      <c r="N266" s="49">
        <f>1000</f>
        <v>1000</v>
      </c>
      <c r="O266" s="30">
        <f t="shared" si="5"/>
        <v>9000</v>
      </c>
      <c r="P266" s="44">
        <v>1.1299999999999999</v>
      </c>
    </row>
    <row r="267" spans="2:16" x14ac:dyDescent="0.35">
      <c r="B267" s="39" t="s">
        <v>3096</v>
      </c>
      <c r="C267" s="80" t="s">
        <v>3198</v>
      </c>
      <c r="D267" s="40">
        <v>44672</v>
      </c>
      <c r="E267" s="36">
        <v>44757</v>
      </c>
      <c r="F267" s="36">
        <v>46582</v>
      </c>
      <c r="G267" s="64" t="s">
        <v>6</v>
      </c>
      <c r="H267" s="38" t="s">
        <v>2795</v>
      </c>
      <c r="I267" s="35" t="s">
        <v>2484</v>
      </c>
      <c r="J267" s="38" t="s">
        <v>4563</v>
      </c>
      <c r="K267" s="38" t="s">
        <v>2586</v>
      </c>
      <c r="L267" s="45">
        <v>40000</v>
      </c>
      <c r="M267" s="49">
        <v>0</v>
      </c>
      <c r="N267" s="49">
        <f>10335+7159.87</f>
        <v>17494.87</v>
      </c>
      <c r="O267" s="30">
        <f t="shared" si="5"/>
        <v>22505.13</v>
      </c>
      <c r="P267" s="44">
        <v>1.1299999999999999</v>
      </c>
    </row>
    <row r="268" spans="2:16" x14ac:dyDescent="0.35">
      <c r="B268" s="39" t="s">
        <v>2672</v>
      </c>
      <c r="C268" s="101" t="s">
        <v>3230</v>
      </c>
      <c r="D268" s="40">
        <v>44194</v>
      </c>
      <c r="E268" s="40">
        <v>44760</v>
      </c>
      <c r="F268" s="40">
        <v>46116</v>
      </c>
      <c r="G268" s="63" t="s">
        <v>6</v>
      </c>
      <c r="H268" s="38" t="s">
        <v>3229</v>
      </c>
      <c r="I268" s="39" t="s">
        <v>2495</v>
      </c>
      <c r="J268" s="38" t="s">
        <v>2704</v>
      </c>
      <c r="K268" s="38" t="s">
        <v>2583</v>
      </c>
      <c r="L268" s="31">
        <v>160000</v>
      </c>
      <c r="M268" s="31">
        <v>0</v>
      </c>
      <c r="N268" s="31">
        <v>3600</v>
      </c>
      <c r="O268" s="30">
        <f t="shared" si="5"/>
        <v>156400</v>
      </c>
      <c r="P268" s="26">
        <v>1.08</v>
      </c>
    </row>
    <row r="269" spans="2:16" x14ac:dyDescent="0.35">
      <c r="B269" s="39" t="s">
        <v>2673</v>
      </c>
      <c r="C269" s="101" t="s">
        <v>3228</v>
      </c>
      <c r="D269" s="40">
        <v>44194</v>
      </c>
      <c r="E269" s="40">
        <v>44760</v>
      </c>
      <c r="F269" s="40">
        <v>46116</v>
      </c>
      <c r="G269" s="63" t="s">
        <v>6</v>
      </c>
      <c r="H269" s="38" t="s">
        <v>3229</v>
      </c>
      <c r="I269" s="39" t="s">
        <v>2495</v>
      </c>
      <c r="J269" s="38" t="s">
        <v>2704</v>
      </c>
      <c r="K269" s="38" t="s">
        <v>2586</v>
      </c>
      <c r="L269" s="31">
        <v>900000</v>
      </c>
      <c r="M269" s="31">
        <v>0</v>
      </c>
      <c r="N269" s="31">
        <v>0</v>
      </c>
      <c r="O269" s="30">
        <f t="shared" si="5"/>
        <v>900000</v>
      </c>
      <c r="P269" s="26">
        <v>1.08</v>
      </c>
    </row>
    <row r="270" spans="2:16" ht="29" x14ac:dyDescent="0.35">
      <c r="B270" s="39" t="s">
        <v>3056</v>
      </c>
      <c r="C270" s="80" t="s">
        <v>3199</v>
      </c>
      <c r="D270" s="40">
        <v>44634</v>
      </c>
      <c r="E270" s="36">
        <v>44760</v>
      </c>
      <c r="F270" s="36">
        <v>46951</v>
      </c>
      <c r="G270" s="64" t="s">
        <v>5683</v>
      </c>
      <c r="H270" s="38" t="s">
        <v>3064</v>
      </c>
      <c r="I270" s="35" t="s">
        <v>2476</v>
      </c>
      <c r="J270" s="38" t="s">
        <v>3068</v>
      </c>
      <c r="K270" s="38" t="s">
        <v>2583</v>
      </c>
      <c r="L270" s="45">
        <v>3500</v>
      </c>
      <c r="M270" s="49">
        <v>3500</v>
      </c>
      <c r="N270" s="49">
        <v>0</v>
      </c>
      <c r="O270" s="30">
        <f t="shared" si="5"/>
        <v>0</v>
      </c>
      <c r="P270" s="44">
        <v>-0.09</v>
      </c>
    </row>
    <row r="271" spans="2:16" ht="29" x14ac:dyDescent="0.35">
      <c r="B271" s="39" t="s">
        <v>3057</v>
      </c>
      <c r="C271" s="80" t="s">
        <v>3200</v>
      </c>
      <c r="D271" s="40">
        <v>44634</v>
      </c>
      <c r="E271" s="36">
        <v>44760</v>
      </c>
      <c r="F271" s="36">
        <v>46585</v>
      </c>
      <c r="G271" s="64" t="s">
        <v>5683</v>
      </c>
      <c r="H271" s="38" t="s">
        <v>3064</v>
      </c>
      <c r="I271" s="35" t="s">
        <v>2476</v>
      </c>
      <c r="J271" s="38" t="s">
        <v>3068</v>
      </c>
      <c r="K271" s="38" t="s">
        <v>2586</v>
      </c>
      <c r="L271" s="45">
        <v>100000</v>
      </c>
      <c r="M271" s="49">
        <v>100000</v>
      </c>
      <c r="N271" s="49">
        <v>0</v>
      </c>
      <c r="O271" s="30">
        <f t="shared" si="5"/>
        <v>0</v>
      </c>
      <c r="P271" s="44">
        <v>-0.09</v>
      </c>
    </row>
    <row r="272" spans="2:16" x14ac:dyDescent="0.35">
      <c r="B272" s="35" t="s">
        <v>3159</v>
      </c>
      <c r="C272" s="80" t="s">
        <v>3236</v>
      </c>
      <c r="D272" s="40">
        <v>44412</v>
      </c>
      <c r="E272" s="36">
        <v>44761</v>
      </c>
      <c r="F272" s="36">
        <v>45125</v>
      </c>
      <c r="G272" s="64" t="s">
        <v>6</v>
      </c>
      <c r="H272" s="43" t="s">
        <v>3237</v>
      </c>
      <c r="I272" s="35" t="s">
        <v>2494</v>
      </c>
      <c r="J272" s="43" t="s">
        <v>3277</v>
      </c>
      <c r="K272" s="43" t="s">
        <v>3183</v>
      </c>
      <c r="L272" s="49">
        <v>10000</v>
      </c>
      <c r="M272" s="49">
        <v>0</v>
      </c>
      <c r="N272" s="49">
        <v>0</v>
      </c>
      <c r="O272" s="30">
        <f t="shared" si="5"/>
        <v>10000</v>
      </c>
      <c r="P272" s="44" t="s">
        <v>2874</v>
      </c>
    </row>
    <row r="273" spans="2:16" x14ac:dyDescent="0.35">
      <c r="B273" s="35" t="s">
        <v>3164</v>
      </c>
      <c r="C273" s="80" t="s">
        <v>3290</v>
      </c>
      <c r="D273" s="36">
        <v>44412</v>
      </c>
      <c r="E273" s="36">
        <v>44762</v>
      </c>
      <c r="F273" s="36">
        <v>45310</v>
      </c>
      <c r="G273" s="64" t="s">
        <v>6</v>
      </c>
      <c r="H273" s="43" t="s">
        <v>3291</v>
      </c>
      <c r="I273" s="35" t="s">
        <v>2534</v>
      </c>
      <c r="J273" s="43" t="s">
        <v>3326</v>
      </c>
      <c r="K273" s="43" t="s">
        <v>3182</v>
      </c>
      <c r="L273" s="49">
        <v>10000</v>
      </c>
      <c r="M273" s="49">
        <v>0</v>
      </c>
      <c r="N273" s="49">
        <v>5000</v>
      </c>
      <c r="O273" s="30">
        <f t="shared" si="5"/>
        <v>5000</v>
      </c>
      <c r="P273" s="44" t="s">
        <v>2874</v>
      </c>
    </row>
    <row r="274" spans="2:16" x14ac:dyDescent="0.35">
      <c r="B274" s="35" t="s">
        <v>3164</v>
      </c>
      <c r="C274" s="80" t="s">
        <v>3292</v>
      </c>
      <c r="D274" s="36">
        <v>44412</v>
      </c>
      <c r="E274" s="36">
        <v>44762</v>
      </c>
      <c r="F274" s="36">
        <v>45310</v>
      </c>
      <c r="G274" s="64" t="s">
        <v>6</v>
      </c>
      <c r="H274" s="43" t="s">
        <v>3293</v>
      </c>
      <c r="I274" s="35" t="s">
        <v>2506</v>
      </c>
      <c r="J274" s="43"/>
      <c r="K274" s="43" t="s">
        <v>3182</v>
      </c>
      <c r="L274" s="49">
        <v>10000</v>
      </c>
      <c r="M274" s="49">
        <v>0</v>
      </c>
      <c r="N274" s="49">
        <v>5000</v>
      </c>
      <c r="O274" s="30">
        <f t="shared" si="5"/>
        <v>5000</v>
      </c>
      <c r="P274" s="44" t="s">
        <v>2874</v>
      </c>
    </row>
    <row r="275" spans="2:16" x14ac:dyDescent="0.35">
      <c r="B275" s="35" t="s">
        <v>3164</v>
      </c>
      <c r="C275" s="80" t="s">
        <v>3294</v>
      </c>
      <c r="D275" s="36">
        <v>44412</v>
      </c>
      <c r="E275" s="36">
        <v>44762</v>
      </c>
      <c r="F275" s="36">
        <v>45310</v>
      </c>
      <c r="G275" s="64" t="s">
        <v>6</v>
      </c>
      <c r="H275" s="43" t="s">
        <v>3295</v>
      </c>
      <c r="I275" s="35" t="s">
        <v>2538</v>
      </c>
      <c r="J275" s="43" t="s">
        <v>3178</v>
      </c>
      <c r="K275" s="43" t="s">
        <v>3182</v>
      </c>
      <c r="L275" s="49">
        <v>10000</v>
      </c>
      <c r="M275" s="49">
        <v>0</v>
      </c>
      <c r="N275" s="49">
        <v>5000</v>
      </c>
      <c r="O275" s="30">
        <f t="shared" si="5"/>
        <v>5000</v>
      </c>
      <c r="P275" s="44" t="s">
        <v>2874</v>
      </c>
    </row>
    <row r="276" spans="2:16" x14ac:dyDescent="0.35">
      <c r="B276" s="35" t="s">
        <v>3164</v>
      </c>
      <c r="C276" s="80" t="s">
        <v>3296</v>
      </c>
      <c r="D276" s="36">
        <v>44412</v>
      </c>
      <c r="E276" s="36">
        <v>44762</v>
      </c>
      <c r="F276" s="36">
        <v>45310</v>
      </c>
      <c r="G276" s="64" t="s">
        <v>6</v>
      </c>
      <c r="H276" s="43" t="s">
        <v>3297</v>
      </c>
      <c r="I276" s="35" t="s">
        <v>2534</v>
      </c>
      <c r="J276" s="43" t="s">
        <v>3327</v>
      </c>
      <c r="K276" s="43" t="s">
        <v>3182</v>
      </c>
      <c r="L276" s="49">
        <v>10000</v>
      </c>
      <c r="M276" s="49">
        <v>0</v>
      </c>
      <c r="N276" s="49">
        <v>5000</v>
      </c>
      <c r="O276" s="30">
        <f t="shared" si="5"/>
        <v>5000</v>
      </c>
      <c r="P276" s="44" t="s">
        <v>2874</v>
      </c>
    </row>
    <row r="277" spans="2:16" x14ac:dyDescent="0.35">
      <c r="B277" s="35" t="s">
        <v>3164</v>
      </c>
      <c r="C277" s="80" t="s">
        <v>3298</v>
      </c>
      <c r="D277" s="36">
        <v>44412</v>
      </c>
      <c r="E277" s="36">
        <v>44762</v>
      </c>
      <c r="F277" s="36">
        <v>45310</v>
      </c>
      <c r="G277" s="64" t="s">
        <v>6</v>
      </c>
      <c r="H277" s="43" t="s">
        <v>3318</v>
      </c>
      <c r="I277" s="35" t="s">
        <v>2484</v>
      </c>
      <c r="J277" s="43" t="s">
        <v>3328</v>
      </c>
      <c r="K277" s="43" t="s">
        <v>3182</v>
      </c>
      <c r="L277" s="49">
        <v>4000</v>
      </c>
      <c r="M277" s="49">
        <v>0</v>
      </c>
      <c r="N277" s="49">
        <v>0</v>
      </c>
      <c r="O277" s="30">
        <f t="shared" si="5"/>
        <v>4000</v>
      </c>
      <c r="P277" s="44" t="s">
        <v>2874</v>
      </c>
    </row>
    <row r="278" spans="2:16" x14ac:dyDescent="0.35">
      <c r="B278" s="35" t="s">
        <v>3164</v>
      </c>
      <c r="C278" s="80" t="s">
        <v>3299</v>
      </c>
      <c r="D278" s="36">
        <v>44412</v>
      </c>
      <c r="E278" s="36">
        <v>44762</v>
      </c>
      <c r="F278" s="36">
        <v>45310</v>
      </c>
      <c r="G278" s="64" t="s">
        <v>6</v>
      </c>
      <c r="H278" s="43" t="s">
        <v>3319</v>
      </c>
      <c r="I278" s="35" t="s">
        <v>2480</v>
      </c>
      <c r="J278" s="43"/>
      <c r="K278" s="43" t="s">
        <v>3182</v>
      </c>
      <c r="L278" s="49">
        <v>10000</v>
      </c>
      <c r="M278" s="49">
        <v>0</v>
      </c>
      <c r="N278" s="49">
        <v>5000</v>
      </c>
      <c r="O278" s="30">
        <f t="shared" si="5"/>
        <v>5000</v>
      </c>
      <c r="P278" s="44" t="s">
        <v>2874</v>
      </c>
    </row>
    <row r="279" spans="2:16" x14ac:dyDescent="0.35">
      <c r="B279" s="35" t="s">
        <v>3164</v>
      </c>
      <c r="C279" s="80" t="s">
        <v>3300</v>
      </c>
      <c r="D279" s="36">
        <v>44412</v>
      </c>
      <c r="E279" s="36">
        <v>44762</v>
      </c>
      <c r="F279" s="36">
        <v>45310</v>
      </c>
      <c r="G279" s="64" t="s">
        <v>6</v>
      </c>
      <c r="H279" s="43" t="s">
        <v>3301</v>
      </c>
      <c r="I279" s="35" t="s">
        <v>2501</v>
      </c>
      <c r="J279" s="43" t="s">
        <v>3329</v>
      </c>
      <c r="K279" s="43" t="s">
        <v>3182</v>
      </c>
      <c r="L279" s="49">
        <v>8061.85</v>
      </c>
      <c r="M279" s="49">
        <v>0</v>
      </c>
      <c r="N279" s="49">
        <v>4030.93</v>
      </c>
      <c r="O279" s="30">
        <f t="shared" si="5"/>
        <v>4030.9200000000005</v>
      </c>
      <c r="P279" s="44" t="s">
        <v>2874</v>
      </c>
    </row>
    <row r="280" spans="2:16" x14ac:dyDescent="0.35">
      <c r="B280" s="35" t="s">
        <v>3164</v>
      </c>
      <c r="C280" s="80" t="s">
        <v>3302</v>
      </c>
      <c r="D280" s="36">
        <v>44412</v>
      </c>
      <c r="E280" s="36">
        <v>44762</v>
      </c>
      <c r="F280" s="36">
        <v>45310</v>
      </c>
      <c r="G280" s="64" t="s">
        <v>6</v>
      </c>
      <c r="H280" s="43" t="s">
        <v>3303</v>
      </c>
      <c r="I280" s="35" t="s">
        <v>3177</v>
      </c>
      <c r="J280" s="43" t="s">
        <v>3330</v>
      </c>
      <c r="K280" s="43" t="s">
        <v>3182</v>
      </c>
      <c r="L280" s="49">
        <v>10000</v>
      </c>
      <c r="M280" s="49">
        <v>0</v>
      </c>
      <c r="N280" s="49">
        <v>5000</v>
      </c>
      <c r="O280" s="30">
        <f t="shared" si="5"/>
        <v>5000</v>
      </c>
      <c r="P280" s="44" t="s">
        <v>2874</v>
      </c>
    </row>
    <row r="281" spans="2:16" x14ac:dyDescent="0.35">
      <c r="B281" s="35" t="s">
        <v>3164</v>
      </c>
      <c r="C281" s="80" t="s">
        <v>3304</v>
      </c>
      <c r="D281" s="36">
        <v>44412</v>
      </c>
      <c r="E281" s="36">
        <v>44762</v>
      </c>
      <c r="F281" s="36">
        <v>45310</v>
      </c>
      <c r="G281" s="64" t="s">
        <v>6</v>
      </c>
      <c r="H281" s="43" t="s">
        <v>3305</v>
      </c>
      <c r="I281" s="35" t="s">
        <v>2522</v>
      </c>
      <c r="J281" s="43" t="s">
        <v>3331</v>
      </c>
      <c r="K281" s="43" t="s">
        <v>3182</v>
      </c>
      <c r="L281" s="49">
        <v>10000</v>
      </c>
      <c r="M281" s="49">
        <v>0</v>
      </c>
      <c r="N281" s="49">
        <v>5000</v>
      </c>
      <c r="O281" s="30">
        <f t="shared" si="5"/>
        <v>5000</v>
      </c>
      <c r="P281" s="44" t="s">
        <v>2874</v>
      </c>
    </row>
    <row r="282" spans="2:16" x14ac:dyDescent="0.35">
      <c r="B282" s="35" t="s">
        <v>3164</v>
      </c>
      <c r="C282" s="80" t="s">
        <v>3306</v>
      </c>
      <c r="D282" s="36">
        <v>44412</v>
      </c>
      <c r="E282" s="36">
        <v>44762</v>
      </c>
      <c r="F282" s="36">
        <v>45310</v>
      </c>
      <c r="G282" s="64" t="s">
        <v>6</v>
      </c>
      <c r="H282" s="43" t="s">
        <v>3320</v>
      </c>
      <c r="I282" s="35" t="s">
        <v>2484</v>
      </c>
      <c r="J282" s="43" t="s">
        <v>3332</v>
      </c>
      <c r="K282" s="43" t="s">
        <v>3182</v>
      </c>
      <c r="L282" s="49">
        <v>10000</v>
      </c>
      <c r="M282" s="49">
        <v>0</v>
      </c>
      <c r="N282" s="49">
        <v>5000</v>
      </c>
      <c r="O282" s="30">
        <f t="shared" si="5"/>
        <v>5000</v>
      </c>
      <c r="P282" s="44" t="s">
        <v>2874</v>
      </c>
    </row>
    <row r="283" spans="2:16" x14ac:dyDescent="0.35">
      <c r="B283" s="35" t="s">
        <v>3164</v>
      </c>
      <c r="C283" s="80" t="s">
        <v>3307</v>
      </c>
      <c r="D283" s="36">
        <v>44412</v>
      </c>
      <c r="E283" s="36">
        <v>44762</v>
      </c>
      <c r="F283" s="36">
        <v>45310</v>
      </c>
      <c r="G283" s="64" t="s">
        <v>6</v>
      </c>
      <c r="H283" s="43" t="s">
        <v>3308</v>
      </c>
      <c r="I283" s="35" t="s">
        <v>2521</v>
      </c>
      <c r="J283" s="43" t="s">
        <v>4587</v>
      </c>
      <c r="K283" s="43" t="s">
        <v>3182</v>
      </c>
      <c r="L283" s="49">
        <v>7565</v>
      </c>
      <c r="M283" s="49">
        <v>0</v>
      </c>
      <c r="N283" s="49">
        <f>3782.5+3608.32</f>
        <v>7390.82</v>
      </c>
      <c r="O283" s="30">
        <f t="shared" si="5"/>
        <v>174.18000000000029</v>
      </c>
      <c r="P283" s="44" t="s">
        <v>2874</v>
      </c>
    </row>
    <row r="284" spans="2:16" x14ac:dyDescent="0.35">
      <c r="B284" s="39" t="s">
        <v>2922</v>
      </c>
      <c r="C284" s="80" t="s">
        <v>3238</v>
      </c>
      <c r="D284" s="40">
        <v>44502</v>
      </c>
      <c r="E284" s="36">
        <v>44763</v>
      </c>
      <c r="F284" s="36">
        <v>46588</v>
      </c>
      <c r="G284" s="64" t="s">
        <v>6</v>
      </c>
      <c r="H284" s="38" t="s">
        <v>2923</v>
      </c>
      <c r="I284" s="35" t="s">
        <v>2812</v>
      </c>
      <c r="J284" s="43" t="s">
        <v>4527</v>
      </c>
      <c r="K284" s="43" t="s">
        <v>2583</v>
      </c>
      <c r="L284" s="45">
        <v>8400</v>
      </c>
      <c r="M284" s="30">
        <v>0</v>
      </c>
      <c r="N284" s="30">
        <v>0</v>
      </c>
      <c r="O284" s="30">
        <f t="shared" si="5"/>
        <v>8400</v>
      </c>
      <c r="P284" s="44">
        <v>1.68</v>
      </c>
    </row>
    <row r="285" spans="2:16" ht="29" x14ac:dyDescent="0.35">
      <c r="B285" s="39" t="s">
        <v>3102</v>
      </c>
      <c r="C285" s="80" t="s">
        <v>3593</v>
      </c>
      <c r="D285" s="40">
        <v>44678</v>
      </c>
      <c r="E285" s="36">
        <v>44764</v>
      </c>
      <c r="F285" s="36">
        <v>45859</v>
      </c>
      <c r="G285" s="64" t="s">
        <v>6</v>
      </c>
      <c r="H285" s="38" t="s">
        <v>3108</v>
      </c>
      <c r="I285" s="35" t="s">
        <v>2525</v>
      </c>
      <c r="J285" s="38" t="s">
        <v>4567</v>
      </c>
      <c r="K285" s="38" t="s">
        <v>2583</v>
      </c>
      <c r="L285" s="45">
        <v>12000</v>
      </c>
      <c r="M285" s="49">
        <v>0</v>
      </c>
      <c r="N285" s="49">
        <v>0</v>
      </c>
      <c r="O285" s="30">
        <f t="shared" si="5"/>
        <v>12000</v>
      </c>
      <c r="P285" s="26">
        <v>7.06</v>
      </c>
    </row>
    <row r="286" spans="2:16" ht="29" x14ac:dyDescent="0.35">
      <c r="B286" s="39" t="s">
        <v>3103</v>
      </c>
      <c r="C286" s="80" t="s">
        <v>3594</v>
      </c>
      <c r="D286" s="40">
        <v>44678</v>
      </c>
      <c r="E286" s="36">
        <v>44764</v>
      </c>
      <c r="F286" s="36">
        <v>46589</v>
      </c>
      <c r="G286" s="64" t="s">
        <v>6</v>
      </c>
      <c r="H286" s="38" t="s">
        <v>3108</v>
      </c>
      <c r="I286" s="35" t="s">
        <v>2525</v>
      </c>
      <c r="J286" s="38" t="s">
        <v>4567</v>
      </c>
      <c r="K286" s="38" t="s">
        <v>2586</v>
      </c>
      <c r="L286" s="45">
        <v>108639</v>
      </c>
      <c r="M286" s="49">
        <v>0</v>
      </c>
      <c r="N286" s="49">
        <f>11456.08+1398.5+2895.98</f>
        <v>15750.56</v>
      </c>
      <c r="O286" s="30">
        <f t="shared" si="5"/>
        <v>92888.44</v>
      </c>
      <c r="P286" s="26">
        <v>7.06</v>
      </c>
    </row>
    <row r="287" spans="2:16" ht="29" x14ac:dyDescent="0.35">
      <c r="B287" s="35" t="s">
        <v>2974</v>
      </c>
      <c r="C287" s="80" t="s">
        <v>3226</v>
      </c>
      <c r="D287" s="40">
        <v>42992</v>
      </c>
      <c r="E287" s="37">
        <v>44777</v>
      </c>
      <c r="F287" s="37">
        <v>46138</v>
      </c>
      <c r="G287" s="64" t="s">
        <v>6</v>
      </c>
      <c r="H287" s="43" t="s">
        <v>2512</v>
      </c>
      <c r="I287" s="35" t="s">
        <v>2483</v>
      </c>
      <c r="J287" s="38" t="s">
        <v>4462</v>
      </c>
      <c r="K287" s="38" t="s">
        <v>2585</v>
      </c>
      <c r="L287" s="30">
        <v>150000</v>
      </c>
      <c r="M287" s="30">
        <v>0</v>
      </c>
      <c r="N287" s="30">
        <f>100000</f>
        <v>100000</v>
      </c>
      <c r="O287" s="30">
        <f t="shared" si="5"/>
        <v>50000</v>
      </c>
      <c r="P287" s="26">
        <v>11.59</v>
      </c>
    </row>
    <row r="288" spans="2:16" x14ac:dyDescent="0.35">
      <c r="B288" s="39" t="s">
        <v>3052</v>
      </c>
      <c r="C288" s="80" t="s">
        <v>3241</v>
      </c>
      <c r="D288" s="40">
        <v>44620</v>
      </c>
      <c r="E288" s="36">
        <v>44777</v>
      </c>
      <c r="F288" s="36">
        <v>46602</v>
      </c>
      <c r="G288" s="64" t="s">
        <v>6</v>
      </c>
      <c r="H288" s="38" t="s">
        <v>3062</v>
      </c>
      <c r="I288" s="35" t="s">
        <v>2496</v>
      </c>
      <c r="J288" s="38" t="s">
        <v>4558</v>
      </c>
      <c r="K288" s="38" t="s">
        <v>2585</v>
      </c>
      <c r="L288" s="45">
        <v>45000</v>
      </c>
      <c r="M288" s="49">
        <v>0</v>
      </c>
      <c r="N288" s="49">
        <v>0</v>
      </c>
      <c r="O288" s="30">
        <f t="shared" si="5"/>
        <v>45000</v>
      </c>
      <c r="P288" s="44">
        <v>3.74</v>
      </c>
    </row>
    <row r="289" spans="2:16" x14ac:dyDescent="0.35">
      <c r="B289" s="39" t="s">
        <v>3093</v>
      </c>
      <c r="C289" s="80" t="s">
        <v>3239</v>
      </c>
      <c r="D289" s="40">
        <v>44650</v>
      </c>
      <c r="E289" s="36">
        <v>44777</v>
      </c>
      <c r="F289" s="36">
        <v>46602</v>
      </c>
      <c r="G289" s="64" t="s">
        <v>6</v>
      </c>
      <c r="H289" s="38" t="s">
        <v>3109</v>
      </c>
      <c r="I289" s="35" t="s">
        <v>2531</v>
      </c>
      <c r="J289" s="38" t="s">
        <v>4562</v>
      </c>
      <c r="K289" s="38" t="s">
        <v>2583</v>
      </c>
      <c r="L289" s="45">
        <v>107500</v>
      </c>
      <c r="M289" s="49">
        <v>0</v>
      </c>
      <c r="N289" s="49">
        <f>43500</f>
        <v>43500</v>
      </c>
      <c r="O289" s="30">
        <f t="shared" si="5"/>
        <v>64000</v>
      </c>
      <c r="P289" s="44">
        <v>4.16</v>
      </c>
    </row>
    <row r="290" spans="2:16" x14ac:dyDescent="0.35">
      <c r="B290" s="39" t="s">
        <v>3094</v>
      </c>
      <c r="C290" s="80" t="s">
        <v>3240</v>
      </c>
      <c r="D290" s="40">
        <v>44650</v>
      </c>
      <c r="E290" s="36">
        <v>44777</v>
      </c>
      <c r="F290" s="36">
        <v>46602</v>
      </c>
      <c r="G290" s="64" t="s">
        <v>6</v>
      </c>
      <c r="H290" s="38" t="s">
        <v>3109</v>
      </c>
      <c r="I290" s="35" t="s">
        <v>2531</v>
      </c>
      <c r="J290" s="38" t="s">
        <v>4562</v>
      </c>
      <c r="K290" s="38" t="s">
        <v>2586</v>
      </c>
      <c r="L290" s="45">
        <v>4608678</v>
      </c>
      <c r="M290" s="49">
        <v>0</v>
      </c>
      <c r="N290" s="49">
        <f>87033.32+775023.33</f>
        <v>862056.64999999991</v>
      </c>
      <c r="O290" s="30">
        <f t="shared" si="5"/>
        <v>3746621.35</v>
      </c>
      <c r="P290" s="44">
        <v>4.16</v>
      </c>
    </row>
    <row r="291" spans="2:16" ht="29" x14ac:dyDescent="0.35">
      <c r="B291" s="39" t="s">
        <v>3016</v>
      </c>
      <c r="C291" s="80" t="s">
        <v>3244</v>
      </c>
      <c r="D291" s="40">
        <v>44589</v>
      </c>
      <c r="E291" s="36">
        <v>44778</v>
      </c>
      <c r="F291" s="36">
        <v>45142</v>
      </c>
      <c r="G291" s="64" t="s">
        <v>6</v>
      </c>
      <c r="H291" s="38" t="s">
        <v>3022</v>
      </c>
      <c r="I291" s="35" t="s">
        <v>2804</v>
      </c>
      <c r="J291" s="38" t="s">
        <v>4553</v>
      </c>
      <c r="K291" s="38" t="s">
        <v>2583</v>
      </c>
      <c r="L291" s="45">
        <v>7500</v>
      </c>
      <c r="M291" s="49">
        <v>0</v>
      </c>
      <c r="N291" s="49">
        <v>0</v>
      </c>
      <c r="O291" s="30">
        <f t="shared" si="5"/>
        <v>7500</v>
      </c>
      <c r="P291" s="44">
        <v>1.28</v>
      </c>
    </row>
    <row r="292" spans="2:16" x14ac:dyDescent="0.35">
      <c r="B292" s="35" t="s">
        <v>1951</v>
      </c>
      <c r="C292" s="80" t="s">
        <v>3242</v>
      </c>
      <c r="D292" s="36">
        <v>43404</v>
      </c>
      <c r="E292" s="36">
        <v>44778</v>
      </c>
      <c r="F292" s="36">
        <v>46603</v>
      </c>
      <c r="G292" s="64" t="s">
        <v>6</v>
      </c>
      <c r="H292" s="43" t="s">
        <v>3160</v>
      </c>
      <c r="I292" s="35" t="s">
        <v>2499</v>
      </c>
      <c r="J292" s="38" t="s">
        <v>4471</v>
      </c>
      <c r="K292" s="38" t="s">
        <v>3092</v>
      </c>
      <c r="L292" s="49">
        <v>300000</v>
      </c>
      <c r="M292" s="49">
        <v>0</v>
      </c>
      <c r="N292" s="49">
        <v>0</v>
      </c>
      <c r="O292" s="30">
        <f t="shared" si="5"/>
        <v>300000</v>
      </c>
      <c r="P292" s="44" t="s">
        <v>2874</v>
      </c>
    </row>
    <row r="293" spans="2:16" x14ac:dyDescent="0.35">
      <c r="B293" s="35" t="s">
        <v>3112</v>
      </c>
      <c r="C293" s="80" t="s">
        <v>3258</v>
      </c>
      <c r="D293" s="36">
        <v>44412</v>
      </c>
      <c r="E293" s="36">
        <v>44781</v>
      </c>
      <c r="F293" s="36">
        <v>45808</v>
      </c>
      <c r="G293" s="64" t="s">
        <v>6</v>
      </c>
      <c r="H293" s="43" t="s">
        <v>3259</v>
      </c>
      <c r="I293" s="35" t="s">
        <v>2490</v>
      </c>
      <c r="J293" s="43" t="s">
        <v>5236</v>
      </c>
      <c r="K293" s="43" t="s">
        <v>3181</v>
      </c>
      <c r="L293" s="49">
        <v>25000</v>
      </c>
      <c r="M293" s="49">
        <v>0</v>
      </c>
      <c r="N293" s="49">
        <f>15000+5000</f>
        <v>20000</v>
      </c>
      <c r="O293" s="30">
        <f t="shared" si="5"/>
        <v>5000</v>
      </c>
      <c r="P293" s="44" t="s">
        <v>2874</v>
      </c>
    </row>
    <row r="294" spans="2:16" x14ac:dyDescent="0.35">
      <c r="B294" s="35" t="s">
        <v>3112</v>
      </c>
      <c r="C294" s="80" t="s">
        <v>3269</v>
      </c>
      <c r="D294" s="36">
        <v>44412</v>
      </c>
      <c r="E294" s="36">
        <v>44781</v>
      </c>
      <c r="F294" s="36">
        <v>46173</v>
      </c>
      <c r="G294" s="64" t="s">
        <v>6</v>
      </c>
      <c r="H294" s="43" t="s">
        <v>3270</v>
      </c>
      <c r="I294" s="35" t="s">
        <v>2804</v>
      </c>
      <c r="J294" s="43" t="s">
        <v>5236</v>
      </c>
      <c r="K294" s="43" t="s">
        <v>3181</v>
      </c>
      <c r="L294" s="49">
        <v>40000</v>
      </c>
      <c r="M294" s="49">
        <v>0</v>
      </c>
      <c r="N294" s="49">
        <f>15000+5000+5000+500+5000</f>
        <v>30500</v>
      </c>
      <c r="O294" s="30">
        <f t="shared" si="5"/>
        <v>9500</v>
      </c>
      <c r="P294" s="44" t="s">
        <v>2874</v>
      </c>
    </row>
    <row r="295" spans="2:16" ht="29" x14ac:dyDescent="0.35">
      <c r="B295" s="39" t="s">
        <v>3100</v>
      </c>
      <c r="C295" s="80" t="s">
        <v>3243</v>
      </c>
      <c r="D295" s="40">
        <v>44678</v>
      </c>
      <c r="E295" s="36">
        <v>44783</v>
      </c>
      <c r="F295" s="36">
        <v>46608</v>
      </c>
      <c r="G295" s="64" t="s">
        <v>6</v>
      </c>
      <c r="H295" s="38" t="s">
        <v>3106</v>
      </c>
      <c r="I295" s="35" t="s">
        <v>2480</v>
      </c>
      <c r="J295" s="38" t="s">
        <v>4515</v>
      </c>
      <c r="K295" s="38" t="s">
        <v>2583</v>
      </c>
      <c r="L295" s="45">
        <v>2250</v>
      </c>
      <c r="M295" s="49">
        <v>0</v>
      </c>
      <c r="N295" s="49">
        <v>0</v>
      </c>
      <c r="O295" s="30">
        <f t="shared" si="5"/>
        <v>2250</v>
      </c>
      <c r="P295" s="44">
        <v>1.05</v>
      </c>
    </row>
    <row r="296" spans="2:16" x14ac:dyDescent="0.35">
      <c r="B296" s="39" t="s">
        <v>2981</v>
      </c>
      <c r="C296" s="80" t="s">
        <v>3227</v>
      </c>
      <c r="D296" s="40">
        <v>44573</v>
      </c>
      <c r="E296" s="46">
        <v>44785</v>
      </c>
      <c r="F296" s="46">
        <v>46414</v>
      </c>
      <c r="G296" s="64" t="s">
        <v>6</v>
      </c>
      <c r="H296" s="38" t="s">
        <v>3001</v>
      </c>
      <c r="I296" s="35" t="s">
        <v>2497</v>
      </c>
      <c r="J296" s="38" t="s">
        <v>4539</v>
      </c>
      <c r="K296" s="38" t="s">
        <v>2586</v>
      </c>
      <c r="L296" s="45">
        <v>2300000</v>
      </c>
      <c r="M296" s="30">
        <v>0</v>
      </c>
      <c r="N296" s="30">
        <v>138047.23000000001</v>
      </c>
      <c r="O296" s="30">
        <f t="shared" si="5"/>
        <v>2161952.77</v>
      </c>
      <c r="P296" s="44">
        <v>9.09</v>
      </c>
    </row>
    <row r="297" spans="2:16" x14ac:dyDescent="0.35">
      <c r="B297" s="35" t="s">
        <v>3112</v>
      </c>
      <c r="C297" s="80" t="s">
        <v>3247</v>
      </c>
      <c r="D297" s="36">
        <v>44412</v>
      </c>
      <c r="E297" s="36">
        <v>44785</v>
      </c>
      <c r="F297" s="36">
        <v>45443</v>
      </c>
      <c r="G297" s="64" t="s">
        <v>6</v>
      </c>
      <c r="H297" s="43" t="s">
        <v>3248</v>
      </c>
      <c r="I297" s="35" t="s">
        <v>2522</v>
      </c>
      <c r="J297" s="43" t="s">
        <v>5236</v>
      </c>
      <c r="K297" s="43" t="s">
        <v>3181</v>
      </c>
      <c r="L297" s="49">
        <v>20000</v>
      </c>
      <c r="M297" s="49">
        <v>0</v>
      </c>
      <c r="N297" s="49">
        <v>10000</v>
      </c>
      <c r="O297" s="30">
        <f t="shared" si="5"/>
        <v>10000</v>
      </c>
      <c r="P297" s="44" t="s">
        <v>2874</v>
      </c>
    </row>
    <row r="298" spans="2:16" x14ac:dyDescent="0.35">
      <c r="B298" s="35" t="s">
        <v>3112</v>
      </c>
      <c r="C298" s="80" t="s">
        <v>3249</v>
      </c>
      <c r="D298" s="36">
        <v>44412</v>
      </c>
      <c r="E298" s="36">
        <v>44785</v>
      </c>
      <c r="F298" s="36">
        <v>45443</v>
      </c>
      <c r="G298" s="64" t="s">
        <v>6</v>
      </c>
      <c r="H298" s="43" t="s">
        <v>3250</v>
      </c>
      <c r="I298" s="35" t="s">
        <v>2480</v>
      </c>
      <c r="J298" s="43" t="s">
        <v>5236</v>
      </c>
      <c r="K298" s="43" t="s">
        <v>3181</v>
      </c>
      <c r="L298" s="49">
        <v>25000</v>
      </c>
      <c r="M298" s="49">
        <v>0</v>
      </c>
      <c r="N298" s="49">
        <f>15000+5000</f>
        <v>20000</v>
      </c>
      <c r="O298" s="30">
        <f t="shared" si="5"/>
        <v>5000</v>
      </c>
      <c r="P298" s="44" t="s">
        <v>2874</v>
      </c>
    </row>
    <row r="299" spans="2:16" x14ac:dyDescent="0.35">
      <c r="B299" s="35" t="s">
        <v>3112</v>
      </c>
      <c r="C299" s="80" t="s">
        <v>3251</v>
      </c>
      <c r="D299" s="36">
        <v>44412</v>
      </c>
      <c r="E299" s="36">
        <v>44785</v>
      </c>
      <c r="F299" s="36">
        <v>46173</v>
      </c>
      <c r="G299" s="64" t="s">
        <v>6</v>
      </c>
      <c r="H299" s="43" t="s">
        <v>3252</v>
      </c>
      <c r="I299" s="35" t="s">
        <v>2485</v>
      </c>
      <c r="J299" s="43" t="s">
        <v>5236</v>
      </c>
      <c r="K299" s="43" t="s">
        <v>3181</v>
      </c>
      <c r="L299" s="49">
        <v>40000</v>
      </c>
      <c r="M299" s="49">
        <v>0</v>
      </c>
      <c r="N299" s="49">
        <f>15000+5000+5000+5000</f>
        <v>30000</v>
      </c>
      <c r="O299" s="30">
        <f>L299-M299-N299</f>
        <v>10000</v>
      </c>
      <c r="P299" s="44" t="s">
        <v>2874</v>
      </c>
    </row>
    <row r="300" spans="2:16" x14ac:dyDescent="0.35">
      <c r="B300" s="35" t="s">
        <v>3112</v>
      </c>
      <c r="C300" s="80" t="s">
        <v>3254</v>
      </c>
      <c r="D300" s="36">
        <v>44412</v>
      </c>
      <c r="E300" s="36">
        <v>44785</v>
      </c>
      <c r="F300" s="36">
        <v>46173</v>
      </c>
      <c r="G300" s="64" t="s">
        <v>6</v>
      </c>
      <c r="H300" s="43" t="s">
        <v>3255</v>
      </c>
      <c r="I300" s="35" t="s">
        <v>2517</v>
      </c>
      <c r="J300" s="43" t="s">
        <v>5236</v>
      </c>
      <c r="K300" s="43" t="s">
        <v>3181</v>
      </c>
      <c r="L300" s="49">
        <v>40000</v>
      </c>
      <c r="M300" s="49">
        <v>0</v>
      </c>
      <c r="N300" s="49">
        <v>0</v>
      </c>
      <c r="O300" s="30">
        <f t="shared" si="5"/>
        <v>40000</v>
      </c>
      <c r="P300" s="44" t="s">
        <v>2874</v>
      </c>
    </row>
    <row r="301" spans="2:16" x14ac:dyDescent="0.35">
      <c r="B301" s="35" t="s">
        <v>3112</v>
      </c>
      <c r="C301" s="80" t="s">
        <v>3256</v>
      </c>
      <c r="D301" s="36">
        <v>44412</v>
      </c>
      <c r="E301" s="36">
        <v>44785</v>
      </c>
      <c r="F301" s="36">
        <v>46173</v>
      </c>
      <c r="G301" s="64" t="s">
        <v>6</v>
      </c>
      <c r="H301" s="43" t="s">
        <v>3280</v>
      </c>
      <c r="I301" s="35" t="s">
        <v>2497</v>
      </c>
      <c r="J301" s="43" t="s">
        <v>5236</v>
      </c>
      <c r="K301" s="43" t="s">
        <v>3181</v>
      </c>
      <c r="L301" s="49">
        <v>40000</v>
      </c>
      <c r="M301" s="49">
        <v>0</v>
      </c>
      <c r="N301" s="49">
        <f>15000+5000+5000+5000</f>
        <v>30000</v>
      </c>
      <c r="O301" s="30">
        <f t="shared" si="5"/>
        <v>10000</v>
      </c>
      <c r="P301" s="44" t="s">
        <v>2874</v>
      </c>
    </row>
    <row r="302" spans="2:16" ht="29" x14ac:dyDescent="0.35">
      <c r="B302" s="35" t="s">
        <v>3112</v>
      </c>
      <c r="C302" s="80" t="s">
        <v>3257</v>
      </c>
      <c r="D302" s="36">
        <v>44412</v>
      </c>
      <c r="E302" s="36">
        <v>44785</v>
      </c>
      <c r="F302" s="36">
        <v>46173</v>
      </c>
      <c r="G302" s="64" t="s">
        <v>6</v>
      </c>
      <c r="H302" s="43" t="s">
        <v>68</v>
      </c>
      <c r="I302" s="35" t="s">
        <v>2490</v>
      </c>
      <c r="J302" s="43" t="s">
        <v>5803</v>
      </c>
      <c r="K302" s="43" t="s">
        <v>5803</v>
      </c>
      <c r="L302" s="49">
        <v>40000</v>
      </c>
      <c r="M302" s="49">
        <v>0</v>
      </c>
      <c r="N302" s="49">
        <f>15000+5000+5000+5000+5304</f>
        <v>35304</v>
      </c>
      <c r="O302" s="30">
        <f>L302-M302-N302</f>
        <v>4696</v>
      </c>
      <c r="P302" s="44" t="s">
        <v>2874</v>
      </c>
    </row>
    <row r="303" spans="2:16" x14ac:dyDescent="0.35">
      <c r="B303" s="35" t="s">
        <v>3112</v>
      </c>
      <c r="C303" s="80" t="s">
        <v>3260</v>
      </c>
      <c r="D303" s="36">
        <v>44412</v>
      </c>
      <c r="E303" s="36">
        <v>44785</v>
      </c>
      <c r="F303" s="36">
        <v>45443</v>
      </c>
      <c r="G303" s="64" t="s">
        <v>6</v>
      </c>
      <c r="H303" s="43" t="s">
        <v>3261</v>
      </c>
      <c r="I303" s="35" t="s">
        <v>2480</v>
      </c>
      <c r="J303" s="43" t="s">
        <v>5236</v>
      </c>
      <c r="K303" s="43" t="s">
        <v>3181</v>
      </c>
      <c r="L303" s="49">
        <v>20000</v>
      </c>
      <c r="M303" s="49">
        <v>0</v>
      </c>
      <c r="N303" s="49">
        <v>10000</v>
      </c>
      <c r="O303" s="30">
        <f t="shared" si="5"/>
        <v>10000</v>
      </c>
      <c r="P303" s="44" t="s">
        <v>2874</v>
      </c>
    </row>
    <row r="304" spans="2:16" x14ac:dyDescent="0.35">
      <c r="B304" s="35" t="s">
        <v>3112</v>
      </c>
      <c r="C304" s="80" t="s">
        <v>3263</v>
      </c>
      <c r="D304" s="36">
        <v>44412</v>
      </c>
      <c r="E304" s="36">
        <v>44785</v>
      </c>
      <c r="F304" s="36">
        <v>45808</v>
      </c>
      <c r="G304" s="64" t="s">
        <v>6</v>
      </c>
      <c r="H304" s="43" t="s">
        <v>3266</v>
      </c>
      <c r="I304" s="35" t="s">
        <v>2488</v>
      </c>
      <c r="J304" s="43" t="s">
        <v>5236</v>
      </c>
      <c r="K304" s="43" t="s">
        <v>3181</v>
      </c>
      <c r="L304" s="49">
        <v>30000</v>
      </c>
      <c r="M304" s="49">
        <v>0</v>
      </c>
      <c r="N304" s="49">
        <f>15000+5000+5000+5000</f>
        <v>30000</v>
      </c>
      <c r="O304" s="30">
        <f t="shared" si="5"/>
        <v>0</v>
      </c>
      <c r="P304" s="44" t="s">
        <v>2874</v>
      </c>
    </row>
    <row r="305" spans="2:16" x14ac:dyDescent="0.35">
      <c r="B305" s="35" t="s">
        <v>3112</v>
      </c>
      <c r="C305" s="80" t="s">
        <v>3264</v>
      </c>
      <c r="D305" s="36">
        <v>44412</v>
      </c>
      <c r="E305" s="36">
        <v>44785</v>
      </c>
      <c r="F305" s="36">
        <v>46173</v>
      </c>
      <c r="G305" s="64" t="s">
        <v>6</v>
      </c>
      <c r="H305" s="43" t="s">
        <v>3267</v>
      </c>
      <c r="I305" s="35" t="s">
        <v>2493</v>
      </c>
      <c r="J305" s="43" t="s">
        <v>5236</v>
      </c>
      <c r="K305" s="43" t="s">
        <v>3181</v>
      </c>
      <c r="L305" s="49">
        <v>40000</v>
      </c>
      <c r="M305" s="49">
        <v>0</v>
      </c>
      <c r="N305" s="49">
        <f>15000+5000+5000</f>
        <v>25000</v>
      </c>
      <c r="O305" s="30">
        <f t="shared" si="5"/>
        <v>15000</v>
      </c>
      <c r="P305" s="44" t="s">
        <v>2874</v>
      </c>
    </row>
    <row r="306" spans="2:16" x14ac:dyDescent="0.35">
      <c r="B306" s="35" t="s">
        <v>3112</v>
      </c>
      <c r="C306" s="80" t="s">
        <v>3265</v>
      </c>
      <c r="D306" s="36">
        <v>44412</v>
      </c>
      <c r="E306" s="36">
        <v>44785</v>
      </c>
      <c r="F306" s="36">
        <v>45808</v>
      </c>
      <c r="G306" s="64" t="s">
        <v>6</v>
      </c>
      <c r="H306" s="43" t="s">
        <v>3268</v>
      </c>
      <c r="I306" s="35" t="s">
        <v>2521</v>
      </c>
      <c r="J306" s="43" t="s">
        <v>5236</v>
      </c>
      <c r="K306" s="43" t="s">
        <v>3181</v>
      </c>
      <c r="L306" s="49">
        <v>25000</v>
      </c>
      <c r="M306" s="49">
        <v>0</v>
      </c>
      <c r="N306" s="49">
        <f>15000+5000+5000</f>
        <v>25000</v>
      </c>
      <c r="O306" s="30">
        <f t="shared" si="5"/>
        <v>0</v>
      </c>
      <c r="P306" s="44" t="s">
        <v>2874</v>
      </c>
    </row>
    <row r="307" spans="2:16" x14ac:dyDescent="0.35">
      <c r="B307" s="35" t="s">
        <v>3112</v>
      </c>
      <c r="C307" s="80" t="s">
        <v>3271</v>
      </c>
      <c r="D307" s="36">
        <v>44412</v>
      </c>
      <c r="E307" s="36">
        <v>44785</v>
      </c>
      <c r="F307" s="36">
        <v>45808</v>
      </c>
      <c r="G307" s="64" t="s">
        <v>6</v>
      </c>
      <c r="H307" s="43" t="s">
        <v>3272</v>
      </c>
      <c r="I307" s="35" t="s">
        <v>2476</v>
      </c>
      <c r="J307" s="43" t="s">
        <v>5236</v>
      </c>
      <c r="K307" s="43" t="s">
        <v>3181</v>
      </c>
      <c r="L307" s="49">
        <v>30000</v>
      </c>
      <c r="M307" s="49">
        <v>0</v>
      </c>
      <c r="N307" s="49">
        <f>15000+5000+5000+5000</f>
        <v>30000</v>
      </c>
      <c r="O307" s="30">
        <f t="shared" si="5"/>
        <v>0</v>
      </c>
      <c r="P307" s="44" t="s">
        <v>2874</v>
      </c>
    </row>
    <row r="308" spans="2:16" x14ac:dyDescent="0.35">
      <c r="B308" s="35" t="s">
        <v>3147</v>
      </c>
      <c r="C308" s="80" t="s">
        <v>3245</v>
      </c>
      <c r="D308" s="36">
        <v>44412</v>
      </c>
      <c r="E308" s="36">
        <v>44788</v>
      </c>
      <c r="F308" s="36">
        <v>45107</v>
      </c>
      <c r="G308" s="64" t="s">
        <v>5683</v>
      </c>
      <c r="H308" s="43" t="s">
        <v>3246</v>
      </c>
      <c r="I308" s="35" t="s">
        <v>2492</v>
      </c>
      <c r="J308" s="43" t="s">
        <v>4584</v>
      </c>
      <c r="K308" s="38" t="s">
        <v>5558</v>
      </c>
      <c r="L308" s="49">
        <v>250000</v>
      </c>
      <c r="M308" s="49">
        <v>250000</v>
      </c>
      <c r="N308" s="49">
        <v>0</v>
      </c>
      <c r="O308" s="30">
        <f t="shared" si="5"/>
        <v>0</v>
      </c>
      <c r="P308" s="43" t="s">
        <v>6250</v>
      </c>
    </row>
    <row r="309" spans="2:16" x14ac:dyDescent="0.35">
      <c r="B309" s="39" t="s">
        <v>3020</v>
      </c>
      <c r="C309" s="80" t="s">
        <v>3309</v>
      </c>
      <c r="D309" s="40">
        <v>44589</v>
      </c>
      <c r="E309" s="36">
        <v>44790</v>
      </c>
      <c r="F309" s="36">
        <v>45885</v>
      </c>
      <c r="G309" s="64" t="s">
        <v>6</v>
      </c>
      <c r="H309" s="38" t="s">
        <v>3024</v>
      </c>
      <c r="I309" s="35" t="s">
        <v>2479</v>
      </c>
      <c r="J309" s="43" t="s">
        <v>4556</v>
      </c>
      <c r="K309" s="43" t="s">
        <v>2584</v>
      </c>
      <c r="L309" s="45">
        <v>37500</v>
      </c>
      <c r="M309" s="49">
        <v>0</v>
      </c>
      <c r="N309" s="49">
        <v>0</v>
      </c>
      <c r="O309" s="30">
        <f t="shared" si="5"/>
        <v>37500</v>
      </c>
      <c r="P309" s="44">
        <v>2.44</v>
      </c>
    </row>
    <row r="310" spans="2:16" x14ac:dyDescent="0.35">
      <c r="B310" s="39" t="s">
        <v>3021</v>
      </c>
      <c r="C310" s="80" t="s">
        <v>3310</v>
      </c>
      <c r="D310" s="40">
        <v>44589</v>
      </c>
      <c r="E310" s="36">
        <v>44790</v>
      </c>
      <c r="F310" s="36">
        <v>46615</v>
      </c>
      <c r="G310" s="64" t="s">
        <v>6</v>
      </c>
      <c r="H310" s="38" t="s">
        <v>3024</v>
      </c>
      <c r="I310" s="35" t="s">
        <v>2479</v>
      </c>
      <c r="J310" s="38" t="s">
        <v>4556</v>
      </c>
      <c r="K310" s="38" t="s">
        <v>2586</v>
      </c>
      <c r="L310" s="45">
        <v>3000000</v>
      </c>
      <c r="M310" s="49">
        <v>0</v>
      </c>
      <c r="N310" s="49">
        <f>1385171.42</f>
        <v>1385171.42</v>
      </c>
      <c r="O310" s="30">
        <f t="shared" si="5"/>
        <v>1614828.58</v>
      </c>
      <c r="P310" s="44">
        <v>2.44</v>
      </c>
    </row>
    <row r="311" spans="2:16" ht="29" x14ac:dyDescent="0.35">
      <c r="B311" s="35" t="s">
        <v>3159</v>
      </c>
      <c r="C311" s="80" t="s">
        <v>3273</v>
      </c>
      <c r="D311" s="40">
        <v>44412</v>
      </c>
      <c r="E311" s="36">
        <v>44791</v>
      </c>
      <c r="F311" s="36">
        <v>45155</v>
      </c>
      <c r="G311" s="64" t="s">
        <v>6</v>
      </c>
      <c r="H311" s="43" t="s">
        <v>3279</v>
      </c>
      <c r="I311" s="35" t="s">
        <v>2480</v>
      </c>
      <c r="J311" s="43" t="s">
        <v>3278</v>
      </c>
      <c r="K311" s="43" t="s">
        <v>3183</v>
      </c>
      <c r="L311" s="49">
        <v>1425</v>
      </c>
      <c r="M311" s="49">
        <v>0</v>
      </c>
      <c r="N311" s="49">
        <v>1291.49</v>
      </c>
      <c r="O311" s="30">
        <f t="shared" si="5"/>
        <v>133.51</v>
      </c>
      <c r="P311" s="44" t="s">
        <v>2874</v>
      </c>
    </row>
    <row r="312" spans="2:16" x14ac:dyDescent="0.35">
      <c r="B312" s="35" t="s">
        <v>3147</v>
      </c>
      <c r="C312" s="80" t="s">
        <v>3274</v>
      </c>
      <c r="D312" s="36">
        <v>44412</v>
      </c>
      <c r="E312" s="36">
        <v>44792</v>
      </c>
      <c r="F312" s="36">
        <v>45107</v>
      </c>
      <c r="G312" s="64" t="s">
        <v>6</v>
      </c>
      <c r="H312" s="43" t="s">
        <v>3275</v>
      </c>
      <c r="I312" s="35" t="s">
        <v>2480</v>
      </c>
      <c r="J312" s="43" t="s">
        <v>4585</v>
      </c>
      <c r="K312" s="38" t="s">
        <v>5558</v>
      </c>
      <c r="L312" s="49">
        <v>250000</v>
      </c>
      <c r="M312" s="49">
        <v>0</v>
      </c>
      <c r="N312" s="49">
        <v>125000</v>
      </c>
      <c r="O312" s="30">
        <f t="shared" si="5"/>
        <v>125000</v>
      </c>
      <c r="P312" s="43" t="s">
        <v>2977</v>
      </c>
    </row>
    <row r="313" spans="2:16" x14ac:dyDescent="0.35">
      <c r="B313" s="39" t="s">
        <v>574</v>
      </c>
      <c r="C313" s="101" t="s">
        <v>3286</v>
      </c>
      <c r="D313" s="40">
        <v>43524</v>
      </c>
      <c r="E313" s="40">
        <v>44795</v>
      </c>
      <c r="F313" s="40">
        <v>46284</v>
      </c>
      <c r="G313" s="63" t="s">
        <v>6</v>
      </c>
      <c r="H313" s="38" t="s">
        <v>576</v>
      </c>
      <c r="I313" s="39" t="s">
        <v>2495</v>
      </c>
      <c r="J313" s="38" t="s">
        <v>4468</v>
      </c>
      <c r="K313" s="38" t="s">
        <v>2587</v>
      </c>
      <c r="L313" s="31">
        <v>1320000</v>
      </c>
      <c r="M313" s="31">
        <v>0</v>
      </c>
      <c r="N313" s="31">
        <v>440000</v>
      </c>
      <c r="O313" s="30">
        <f t="shared" si="5"/>
        <v>880000</v>
      </c>
      <c r="P313" s="26">
        <v>1.24</v>
      </c>
    </row>
    <row r="314" spans="2:16" ht="43.5" x14ac:dyDescent="0.35">
      <c r="B314" s="39" t="s">
        <v>2749</v>
      </c>
      <c r="C314" s="101" t="s">
        <v>3311</v>
      </c>
      <c r="D314" s="40">
        <v>44348</v>
      </c>
      <c r="E314" s="40">
        <v>44795</v>
      </c>
      <c r="F314" s="40">
        <v>46620</v>
      </c>
      <c r="G314" s="63" t="s">
        <v>5683</v>
      </c>
      <c r="H314" s="38" t="s">
        <v>2771</v>
      </c>
      <c r="I314" s="39" t="s">
        <v>2542</v>
      </c>
      <c r="J314" s="38" t="s">
        <v>2779</v>
      </c>
      <c r="K314" s="38" t="s">
        <v>2583</v>
      </c>
      <c r="L314" s="31">
        <v>39000</v>
      </c>
      <c r="M314" s="31">
        <v>39000</v>
      </c>
      <c r="N314" s="31">
        <v>0</v>
      </c>
      <c r="O314" s="30">
        <f t="shared" si="5"/>
        <v>0</v>
      </c>
      <c r="P314" s="26" t="s">
        <v>6524</v>
      </c>
    </row>
    <row r="315" spans="2:16" x14ac:dyDescent="0.35">
      <c r="B315" s="39" t="s">
        <v>2750</v>
      </c>
      <c r="C315" s="101" t="s">
        <v>3312</v>
      </c>
      <c r="D315" s="40">
        <v>44348</v>
      </c>
      <c r="E315" s="40">
        <v>44795</v>
      </c>
      <c r="F315" s="40">
        <v>46620</v>
      </c>
      <c r="G315" s="63" t="s">
        <v>6</v>
      </c>
      <c r="H315" s="38" t="s">
        <v>2771</v>
      </c>
      <c r="I315" s="39" t="s">
        <v>2497</v>
      </c>
      <c r="J315" s="38" t="s">
        <v>2779</v>
      </c>
      <c r="K315" s="38" t="s">
        <v>2586</v>
      </c>
      <c r="L315" s="31">
        <v>145000</v>
      </c>
      <c r="M315" s="31">
        <v>0</v>
      </c>
      <c r="N315" s="31">
        <v>26362.57</v>
      </c>
      <c r="O315" s="30">
        <f t="shared" si="5"/>
        <v>118637.43</v>
      </c>
      <c r="P315" s="26">
        <v>2.4500000000000002</v>
      </c>
    </row>
    <row r="316" spans="2:16" ht="43.5" x14ac:dyDescent="0.35">
      <c r="B316" s="39" t="s">
        <v>2751</v>
      </c>
      <c r="C316" s="101" t="s">
        <v>3313</v>
      </c>
      <c r="D316" s="40">
        <v>44348</v>
      </c>
      <c r="E316" s="40">
        <v>44795</v>
      </c>
      <c r="F316" s="40">
        <v>46620</v>
      </c>
      <c r="G316" s="63" t="s">
        <v>5683</v>
      </c>
      <c r="H316" s="38" t="s">
        <v>2771</v>
      </c>
      <c r="I316" s="39" t="s">
        <v>2542</v>
      </c>
      <c r="J316" s="38" t="s">
        <v>2779</v>
      </c>
      <c r="K316" s="38" t="s">
        <v>2585</v>
      </c>
      <c r="L316" s="31">
        <v>150000</v>
      </c>
      <c r="M316" s="31">
        <v>150000</v>
      </c>
      <c r="N316" s="31">
        <v>0</v>
      </c>
      <c r="O316" s="30">
        <f t="shared" si="5"/>
        <v>0</v>
      </c>
      <c r="P316" s="26" t="s">
        <v>6526</v>
      </c>
    </row>
    <row r="317" spans="2:16" ht="29" x14ac:dyDescent="0.35">
      <c r="B317" s="39" t="s">
        <v>2828</v>
      </c>
      <c r="C317" s="80" t="s">
        <v>3315</v>
      </c>
      <c r="D317" s="50">
        <v>44461</v>
      </c>
      <c r="E317" s="36">
        <v>44795</v>
      </c>
      <c r="F317" s="36">
        <v>46620</v>
      </c>
      <c r="G317" s="64" t="s">
        <v>6</v>
      </c>
      <c r="H317" s="38" t="s">
        <v>2829</v>
      </c>
      <c r="I317" s="39" t="s">
        <v>2490</v>
      </c>
      <c r="J317" s="38" t="s">
        <v>4517</v>
      </c>
      <c r="K317" s="38" t="s">
        <v>2586</v>
      </c>
      <c r="L317" s="45">
        <v>350000</v>
      </c>
      <c r="M317" s="30">
        <v>0</v>
      </c>
      <c r="N317" s="30">
        <v>225915.85</v>
      </c>
      <c r="O317" s="30">
        <f t="shared" si="5"/>
        <v>124084.15</v>
      </c>
      <c r="P317" s="44">
        <v>6.76</v>
      </c>
    </row>
    <row r="318" spans="2:16" ht="29" x14ac:dyDescent="0.35">
      <c r="B318" s="39" t="s">
        <v>2830</v>
      </c>
      <c r="C318" s="80" t="s">
        <v>3314</v>
      </c>
      <c r="D318" s="67">
        <v>44461</v>
      </c>
      <c r="E318" s="36">
        <v>44795</v>
      </c>
      <c r="F318" s="36">
        <v>46620</v>
      </c>
      <c r="G318" s="64" t="s">
        <v>6</v>
      </c>
      <c r="H318" s="38" t="s">
        <v>2829</v>
      </c>
      <c r="I318" s="39" t="s">
        <v>2490</v>
      </c>
      <c r="J318" s="38" t="s">
        <v>4517</v>
      </c>
      <c r="K318" s="38" t="s">
        <v>2584</v>
      </c>
      <c r="L318" s="45">
        <v>20000</v>
      </c>
      <c r="M318" s="30">
        <v>0</v>
      </c>
      <c r="N318" s="30">
        <v>0</v>
      </c>
      <c r="O318" s="30">
        <f t="shared" si="5"/>
        <v>20000</v>
      </c>
      <c r="P318" s="44">
        <v>6.76</v>
      </c>
    </row>
    <row r="319" spans="2:16" x14ac:dyDescent="0.35">
      <c r="B319" s="39" t="s">
        <v>2934</v>
      </c>
      <c r="C319" s="104" t="s">
        <v>3288</v>
      </c>
      <c r="D319" s="40">
        <v>44536</v>
      </c>
      <c r="E319" s="46">
        <v>44795</v>
      </c>
      <c r="F319" s="46">
        <v>45676</v>
      </c>
      <c r="G319" s="64" t="s">
        <v>6</v>
      </c>
      <c r="H319" s="38" t="s">
        <v>2935</v>
      </c>
      <c r="I319" s="35" t="s">
        <v>2529</v>
      </c>
      <c r="J319" s="38" t="s">
        <v>4531</v>
      </c>
      <c r="K319" s="38" t="s">
        <v>2583</v>
      </c>
      <c r="L319" s="45">
        <v>25500</v>
      </c>
      <c r="M319" s="30">
        <v>0</v>
      </c>
      <c r="N319" s="30">
        <f>17000+8500</f>
        <v>25500</v>
      </c>
      <c r="O319" s="30">
        <f t="shared" si="5"/>
        <v>0</v>
      </c>
      <c r="P319" s="44">
        <v>0.11</v>
      </c>
    </row>
    <row r="320" spans="2:16" ht="29" x14ac:dyDescent="0.35">
      <c r="B320" s="39" t="s">
        <v>3097</v>
      </c>
      <c r="C320" s="80" t="s">
        <v>3316</v>
      </c>
      <c r="D320" s="40">
        <v>44678</v>
      </c>
      <c r="E320" s="36">
        <v>44795</v>
      </c>
      <c r="F320" s="36">
        <v>46255</v>
      </c>
      <c r="G320" s="64" t="s">
        <v>6</v>
      </c>
      <c r="H320" s="38" t="s">
        <v>3104</v>
      </c>
      <c r="I320" s="35" t="s">
        <v>2480</v>
      </c>
      <c r="J320" s="38" t="s">
        <v>4564</v>
      </c>
      <c r="K320" s="38" t="s">
        <v>2583</v>
      </c>
      <c r="L320" s="45">
        <v>7500</v>
      </c>
      <c r="M320" s="49">
        <v>0</v>
      </c>
      <c r="N320" s="49">
        <v>0</v>
      </c>
      <c r="O320" s="30">
        <f t="shared" si="5"/>
        <v>7500</v>
      </c>
      <c r="P320" s="44">
        <v>26.47</v>
      </c>
    </row>
    <row r="321" spans="2:16" ht="29" x14ac:dyDescent="0.35">
      <c r="B321" s="39" t="s">
        <v>3098</v>
      </c>
      <c r="C321" s="80" t="s">
        <v>3317</v>
      </c>
      <c r="D321" s="40">
        <v>44678</v>
      </c>
      <c r="E321" s="36">
        <v>44795</v>
      </c>
      <c r="F321" s="36">
        <v>46620</v>
      </c>
      <c r="G321" s="64" t="s">
        <v>6</v>
      </c>
      <c r="H321" s="38" t="s">
        <v>3104</v>
      </c>
      <c r="I321" s="35" t="s">
        <v>2480</v>
      </c>
      <c r="J321" s="38" t="s">
        <v>4564</v>
      </c>
      <c r="K321" s="38" t="s">
        <v>2586</v>
      </c>
      <c r="L321" s="45">
        <v>70000</v>
      </c>
      <c r="M321" s="49">
        <v>0</v>
      </c>
      <c r="N321" s="49">
        <v>0</v>
      </c>
      <c r="O321" s="30">
        <f t="shared" si="5"/>
        <v>70000</v>
      </c>
      <c r="P321" s="44">
        <v>26.47</v>
      </c>
    </row>
    <row r="322" spans="2:16" x14ac:dyDescent="0.35">
      <c r="B322" s="39" t="s">
        <v>286</v>
      </c>
      <c r="C322" s="101" t="s">
        <v>3590</v>
      </c>
      <c r="D322" s="40">
        <v>43194</v>
      </c>
      <c r="E322" s="40">
        <v>44799</v>
      </c>
      <c r="F322" s="40">
        <v>45291</v>
      </c>
      <c r="G322" s="63" t="s">
        <v>6</v>
      </c>
      <c r="H322" s="38" t="s">
        <v>285</v>
      </c>
      <c r="I322" s="39" t="s">
        <v>2538</v>
      </c>
      <c r="J322" s="38" t="s">
        <v>2577</v>
      </c>
      <c r="K322" s="38" t="s">
        <v>2589</v>
      </c>
      <c r="L322" s="31">
        <v>5500000</v>
      </c>
      <c r="M322" s="31">
        <v>0</v>
      </c>
      <c r="N322" s="31">
        <f>3618743.26+1693131.06</f>
        <v>5311874.32</v>
      </c>
      <c r="O322" s="30">
        <f t="shared" si="5"/>
        <v>188125.6799999997</v>
      </c>
      <c r="P322" s="26">
        <v>23.58</v>
      </c>
    </row>
    <row r="323" spans="2:16" x14ac:dyDescent="0.35">
      <c r="B323" s="35" t="s">
        <v>3147</v>
      </c>
      <c r="C323" s="80" t="s">
        <v>3375</v>
      </c>
      <c r="D323" s="36">
        <v>44412</v>
      </c>
      <c r="E323" s="36">
        <v>44799</v>
      </c>
      <c r="F323" s="36">
        <v>45107</v>
      </c>
      <c r="G323" s="64" t="s">
        <v>6</v>
      </c>
      <c r="H323" s="43" t="s">
        <v>3376</v>
      </c>
      <c r="I323" s="35" t="s">
        <v>2492</v>
      </c>
      <c r="J323" s="43" t="s">
        <v>4593</v>
      </c>
      <c r="K323" s="38" t="s">
        <v>5558</v>
      </c>
      <c r="L323" s="30">
        <v>250000</v>
      </c>
      <c r="M323" s="30">
        <v>0</v>
      </c>
      <c r="N323" s="30">
        <v>150000</v>
      </c>
      <c r="O323" s="30">
        <f t="shared" si="5"/>
        <v>100000</v>
      </c>
      <c r="P323" s="43" t="s">
        <v>2977</v>
      </c>
    </row>
    <row r="324" spans="2:16" x14ac:dyDescent="0.35">
      <c r="B324" s="39" t="s">
        <v>1951</v>
      </c>
      <c r="C324" s="101" t="s">
        <v>3370</v>
      </c>
      <c r="D324" s="40">
        <v>43404</v>
      </c>
      <c r="E324" s="40">
        <v>44804</v>
      </c>
      <c r="F324" s="40">
        <v>45843</v>
      </c>
      <c r="G324" s="63" t="s">
        <v>6</v>
      </c>
      <c r="H324" s="38" t="s">
        <v>1986</v>
      </c>
      <c r="I324" s="39" t="s">
        <v>2480</v>
      </c>
      <c r="J324" s="38" t="s">
        <v>2549</v>
      </c>
      <c r="K324" s="38" t="s">
        <v>3092</v>
      </c>
      <c r="L324" s="31">
        <v>131068.27</v>
      </c>
      <c r="M324" s="31">
        <v>0</v>
      </c>
      <c r="N324" s="31">
        <v>39321.82</v>
      </c>
      <c r="O324" s="30">
        <f t="shared" si="5"/>
        <v>91746.450000000012</v>
      </c>
      <c r="P324" s="27" t="s">
        <v>2874</v>
      </c>
    </row>
    <row r="325" spans="2:16" x14ac:dyDescent="0.35">
      <c r="B325" s="39" t="s">
        <v>2950</v>
      </c>
      <c r="C325" s="80" t="s">
        <v>3289</v>
      </c>
      <c r="D325" s="40">
        <v>44560</v>
      </c>
      <c r="E325" s="36">
        <v>44804</v>
      </c>
      <c r="F325" s="36">
        <v>46495</v>
      </c>
      <c r="G325" s="64" t="s">
        <v>6</v>
      </c>
      <c r="H325" s="38" t="s">
        <v>2949</v>
      </c>
      <c r="I325" s="39" t="s">
        <v>2528</v>
      </c>
      <c r="J325" s="38" t="s">
        <v>4535</v>
      </c>
      <c r="K325" s="38" t="s">
        <v>2586</v>
      </c>
      <c r="L325" s="45">
        <v>31650</v>
      </c>
      <c r="M325" s="30">
        <v>0</v>
      </c>
      <c r="N325" s="30">
        <v>0</v>
      </c>
      <c r="O325" s="30">
        <f t="shared" ref="O325:O388" si="6">L325-M325-N325</f>
        <v>31650</v>
      </c>
      <c r="P325" s="44">
        <v>6.46</v>
      </c>
    </row>
    <row r="326" spans="2:16" x14ac:dyDescent="0.35">
      <c r="B326" s="39" t="s">
        <v>2942</v>
      </c>
      <c r="C326" s="80" t="s">
        <v>3377</v>
      </c>
      <c r="D326" s="40">
        <v>44560</v>
      </c>
      <c r="E326" s="36">
        <v>44816</v>
      </c>
      <c r="F326" s="36">
        <v>46641</v>
      </c>
      <c r="G326" s="64" t="s">
        <v>6</v>
      </c>
      <c r="H326" s="38" t="s">
        <v>2943</v>
      </c>
      <c r="I326" s="35" t="s">
        <v>2944</v>
      </c>
      <c r="J326" s="38" t="s">
        <v>4534</v>
      </c>
      <c r="K326" s="38" t="s">
        <v>2583</v>
      </c>
      <c r="L326" s="45">
        <v>12000</v>
      </c>
      <c r="M326" s="30">
        <v>0</v>
      </c>
      <c r="N326" s="30">
        <v>1999.98</v>
      </c>
      <c r="O326" s="30">
        <f t="shared" si="6"/>
        <v>10000.02</v>
      </c>
      <c r="P326" s="44">
        <v>4.28</v>
      </c>
    </row>
    <row r="327" spans="2:16" x14ac:dyDescent="0.35">
      <c r="B327" s="35" t="s">
        <v>1951</v>
      </c>
      <c r="C327" s="80" t="s">
        <v>3396</v>
      </c>
      <c r="D327" s="36">
        <v>43404</v>
      </c>
      <c r="E327" s="36">
        <v>44816</v>
      </c>
      <c r="F327" s="36">
        <v>46641</v>
      </c>
      <c r="G327" s="64" t="s">
        <v>6</v>
      </c>
      <c r="H327" s="43" t="s">
        <v>3397</v>
      </c>
      <c r="I327" s="35" t="s">
        <v>2653</v>
      </c>
      <c r="J327" s="38" t="s">
        <v>3410</v>
      </c>
      <c r="K327" s="38" t="s">
        <v>3092</v>
      </c>
      <c r="L327" s="30">
        <v>32500</v>
      </c>
      <c r="M327" s="30">
        <v>0</v>
      </c>
      <c r="N327" s="30">
        <v>0</v>
      </c>
      <c r="O327" s="30">
        <f t="shared" si="6"/>
        <v>32500</v>
      </c>
      <c r="P327" s="44" t="s">
        <v>2874</v>
      </c>
    </row>
    <row r="328" spans="2:16" x14ac:dyDescent="0.35">
      <c r="B328" s="39" t="s">
        <v>2767</v>
      </c>
      <c r="C328" s="101" t="s">
        <v>3347</v>
      </c>
      <c r="D328" s="40">
        <v>44356</v>
      </c>
      <c r="E328" s="40">
        <v>44819</v>
      </c>
      <c r="F328" s="40">
        <v>46560</v>
      </c>
      <c r="G328" s="63" t="s">
        <v>6</v>
      </c>
      <c r="H328" s="38" t="s">
        <v>2778</v>
      </c>
      <c r="I328" s="39" t="s">
        <v>2480</v>
      </c>
      <c r="J328" s="38" t="s">
        <v>2572</v>
      </c>
      <c r="K328" s="38" t="s">
        <v>2586</v>
      </c>
      <c r="L328" s="31">
        <v>2500000</v>
      </c>
      <c r="M328" s="31">
        <v>0</v>
      </c>
      <c r="N328" s="31">
        <v>0</v>
      </c>
      <c r="O328" s="30">
        <f t="shared" si="6"/>
        <v>2500000</v>
      </c>
      <c r="P328" s="26">
        <v>2.12</v>
      </c>
    </row>
    <row r="329" spans="2:16" ht="29" x14ac:dyDescent="0.35">
      <c r="B329" s="39" t="s">
        <v>3150</v>
      </c>
      <c r="C329" s="80" t="s">
        <v>3398</v>
      </c>
      <c r="D329" s="40">
        <v>44740</v>
      </c>
      <c r="E329" s="36">
        <v>44819</v>
      </c>
      <c r="F329" s="36">
        <v>46644</v>
      </c>
      <c r="G329" s="64" t="s">
        <v>6</v>
      </c>
      <c r="H329" s="38" t="s">
        <v>3152</v>
      </c>
      <c r="I329" s="39" t="s">
        <v>2480</v>
      </c>
      <c r="J329" s="38" t="s">
        <v>3154</v>
      </c>
      <c r="K329" s="38" t="s">
        <v>2583</v>
      </c>
      <c r="L329" s="45">
        <v>16500</v>
      </c>
      <c r="M329" s="49">
        <v>0</v>
      </c>
      <c r="N329" s="49">
        <v>0</v>
      </c>
      <c r="O329" s="30">
        <f t="shared" si="6"/>
        <v>16500</v>
      </c>
      <c r="P329" s="44">
        <v>6.25</v>
      </c>
    </row>
    <row r="330" spans="2:16" x14ac:dyDescent="0.35">
      <c r="B330" s="35" t="s">
        <v>2907</v>
      </c>
      <c r="C330" s="80" t="s">
        <v>3399</v>
      </c>
      <c r="D330" s="36">
        <v>44469</v>
      </c>
      <c r="E330" s="36">
        <v>44830</v>
      </c>
      <c r="F330" s="36">
        <v>46655</v>
      </c>
      <c r="G330" s="64" t="s">
        <v>6</v>
      </c>
      <c r="H330" s="43" t="s">
        <v>2908</v>
      </c>
      <c r="I330" s="39" t="s">
        <v>2872</v>
      </c>
      <c r="J330" s="43" t="s">
        <v>4519</v>
      </c>
      <c r="K330" s="43" t="s">
        <v>3186</v>
      </c>
      <c r="L330" s="30">
        <v>155000</v>
      </c>
      <c r="M330" s="30">
        <v>0</v>
      </c>
      <c r="N330" s="30">
        <v>93000</v>
      </c>
      <c r="O330" s="30">
        <f t="shared" si="6"/>
        <v>62000</v>
      </c>
      <c r="P330" s="44">
        <v>47.76</v>
      </c>
    </row>
    <row r="331" spans="2:16" ht="29" x14ac:dyDescent="0.35">
      <c r="B331" s="39" t="s">
        <v>3061</v>
      </c>
      <c r="C331" s="80" t="s">
        <v>3400</v>
      </c>
      <c r="D331" s="40">
        <v>44634</v>
      </c>
      <c r="E331" s="56">
        <v>44831</v>
      </c>
      <c r="F331" s="36">
        <v>46285</v>
      </c>
      <c r="G331" s="64" t="s">
        <v>6</v>
      </c>
      <c r="H331" s="38" t="s">
        <v>3067</v>
      </c>
      <c r="I331" s="35" t="s">
        <v>2480</v>
      </c>
      <c r="J331" s="43" t="s">
        <v>3069</v>
      </c>
      <c r="K331" s="43" t="s">
        <v>3186</v>
      </c>
      <c r="L331" s="45">
        <v>6750</v>
      </c>
      <c r="M331" s="49">
        <v>0</v>
      </c>
      <c r="N331" s="49">
        <v>0</v>
      </c>
      <c r="O331" s="30">
        <f t="shared" si="6"/>
        <v>6750</v>
      </c>
      <c r="P331" s="44">
        <v>11.15</v>
      </c>
    </row>
    <row r="332" spans="2:16" x14ac:dyDescent="0.35">
      <c r="B332" s="35" t="s">
        <v>3350</v>
      </c>
      <c r="C332" s="104" t="s">
        <v>3349</v>
      </c>
      <c r="D332" s="36">
        <v>44781</v>
      </c>
      <c r="E332" s="36">
        <v>44834</v>
      </c>
      <c r="F332" s="36">
        <v>45929</v>
      </c>
      <c r="G332" s="64" t="s">
        <v>6</v>
      </c>
      <c r="H332" s="43" t="s">
        <v>3351</v>
      </c>
      <c r="I332" s="35" t="s">
        <v>2480</v>
      </c>
      <c r="J332" s="38" t="s">
        <v>3355</v>
      </c>
      <c r="K332" s="38" t="s">
        <v>2573</v>
      </c>
      <c r="L332" s="30">
        <v>1784</v>
      </c>
      <c r="M332" s="49">
        <v>0</v>
      </c>
      <c r="N332" s="49">
        <v>1000</v>
      </c>
      <c r="O332" s="30">
        <f t="shared" si="6"/>
        <v>784</v>
      </c>
      <c r="P332" s="44" t="s">
        <v>2874</v>
      </c>
    </row>
    <row r="333" spans="2:16" ht="29" x14ac:dyDescent="0.35">
      <c r="B333" s="39" t="s">
        <v>3204</v>
      </c>
      <c r="C333" s="80" t="s">
        <v>3378</v>
      </c>
      <c r="D333" s="40">
        <v>44781</v>
      </c>
      <c r="E333" s="46">
        <v>44837</v>
      </c>
      <c r="F333" s="46">
        <v>46662</v>
      </c>
      <c r="G333" s="64" t="s">
        <v>6</v>
      </c>
      <c r="H333" s="38" t="s">
        <v>3209</v>
      </c>
      <c r="I333" s="35" t="s">
        <v>2483</v>
      </c>
      <c r="J333" s="38" t="s">
        <v>3196</v>
      </c>
      <c r="K333" s="38" t="s">
        <v>2586</v>
      </c>
      <c r="L333" s="49">
        <v>100000</v>
      </c>
      <c r="M333" s="49">
        <v>0</v>
      </c>
      <c r="N333" s="49">
        <f>35569.18+18067.5</f>
        <v>53636.68</v>
      </c>
      <c r="O333" s="30">
        <f t="shared" si="6"/>
        <v>46363.32</v>
      </c>
      <c r="P333" s="44">
        <v>6.12</v>
      </c>
    </row>
    <row r="334" spans="2:16" x14ac:dyDescent="0.35">
      <c r="B334" s="35" t="s">
        <v>3379</v>
      </c>
      <c r="C334" s="80" t="s">
        <v>3380</v>
      </c>
      <c r="D334" s="36">
        <v>44781</v>
      </c>
      <c r="E334" s="46">
        <v>44839</v>
      </c>
      <c r="F334" s="46">
        <v>45934</v>
      </c>
      <c r="G334" s="64" t="s">
        <v>6</v>
      </c>
      <c r="H334" s="43" t="s">
        <v>3381</v>
      </c>
      <c r="I334" s="35" t="s">
        <v>2480</v>
      </c>
      <c r="J334" s="43" t="s">
        <v>3394</v>
      </c>
      <c r="K334" s="43" t="s">
        <v>3384</v>
      </c>
      <c r="L334" s="30">
        <v>100000</v>
      </c>
      <c r="M334" s="30">
        <v>0</v>
      </c>
      <c r="N334" s="30">
        <v>50000</v>
      </c>
      <c r="O334" s="30">
        <f t="shared" si="6"/>
        <v>50000</v>
      </c>
      <c r="P334" s="44" t="s">
        <v>2874</v>
      </c>
    </row>
    <row r="335" spans="2:16" x14ac:dyDescent="0.35">
      <c r="B335" s="39" t="s">
        <v>2940</v>
      </c>
      <c r="C335" s="80" t="s">
        <v>3382</v>
      </c>
      <c r="D335" s="40">
        <v>44560</v>
      </c>
      <c r="E335" s="46">
        <v>44841</v>
      </c>
      <c r="F335" s="46">
        <v>45930</v>
      </c>
      <c r="G335" s="64" t="s">
        <v>6</v>
      </c>
      <c r="H335" s="38" t="s">
        <v>2941</v>
      </c>
      <c r="I335" s="39" t="s">
        <v>2804</v>
      </c>
      <c r="J335" s="38" t="s">
        <v>4533</v>
      </c>
      <c r="K335" s="38" t="s">
        <v>2583</v>
      </c>
      <c r="L335" s="45">
        <v>21500</v>
      </c>
      <c r="M335" s="30">
        <v>0</v>
      </c>
      <c r="N335" s="30">
        <f>4100+4300</f>
        <v>8400</v>
      </c>
      <c r="O335" s="30">
        <f t="shared" si="6"/>
        <v>13100</v>
      </c>
      <c r="P335" s="44">
        <v>9.2799999999999994</v>
      </c>
    </row>
    <row r="336" spans="2:16" x14ac:dyDescent="0.35">
      <c r="B336" s="39" t="s">
        <v>3207</v>
      </c>
      <c r="C336" s="104" t="s">
        <v>3383</v>
      </c>
      <c r="D336" s="40">
        <v>44781</v>
      </c>
      <c r="E336" s="46">
        <v>44841</v>
      </c>
      <c r="F336" s="46">
        <v>45936</v>
      </c>
      <c r="G336" s="64" t="s">
        <v>6</v>
      </c>
      <c r="H336" s="38" t="s">
        <v>3211</v>
      </c>
      <c r="I336" s="35" t="s">
        <v>2525</v>
      </c>
      <c r="J336" s="38" t="s">
        <v>4578</v>
      </c>
      <c r="K336" s="38" t="s">
        <v>2583</v>
      </c>
      <c r="L336" s="49">
        <v>5625</v>
      </c>
      <c r="M336" s="49">
        <v>0</v>
      </c>
      <c r="N336" s="49">
        <v>0</v>
      </c>
      <c r="O336" s="30">
        <f t="shared" si="6"/>
        <v>5625</v>
      </c>
      <c r="P336" s="44">
        <v>1.03</v>
      </c>
    </row>
    <row r="337" spans="2:16" ht="29" x14ac:dyDescent="0.35">
      <c r="B337" s="39" t="s">
        <v>3282</v>
      </c>
      <c r="C337" s="80" t="s">
        <v>3455</v>
      </c>
      <c r="D337" s="40">
        <v>44803</v>
      </c>
      <c r="E337" s="36">
        <v>44859</v>
      </c>
      <c r="F337" s="36">
        <v>46684</v>
      </c>
      <c r="G337" s="64" t="s">
        <v>5683</v>
      </c>
      <c r="H337" s="38" t="s">
        <v>3285</v>
      </c>
      <c r="I337" s="35" t="s">
        <v>2491</v>
      </c>
      <c r="J337" s="38" t="s">
        <v>4586</v>
      </c>
      <c r="K337" s="38" t="s">
        <v>2583</v>
      </c>
      <c r="L337" s="49">
        <v>50009</v>
      </c>
      <c r="M337" s="49">
        <v>50009</v>
      </c>
      <c r="N337" s="49">
        <v>0</v>
      </c>
      <c r="O337" s="30">
        <f t="shared" si="6"/>
        <v>0</v>
      </c>
      <c r="P337" s="44" t="s">
        <v>6523</v>
      </c>
    </row>
    <row r="338" spans="2:16" x14ac:dyDescent="0.35">
      <c r="B338" s="39" t="s">
        <v>3283</v>
      </c>
      <c r="C338" s="80" t="s">
        <v>3456</v>
      </c>
      <c r="D338" s="40">
        <v>44803</v>
      </c>
      <c r="E338" s="36">
        <v>44859</v>
      </c>
      <c r="F338" s="36">
        <v>45589</v>
      </c>
      <c r="G338" s="64" t="s">
        <v>6</v>
      </c>
      <c r="H338" s="38" t="s">
        <v>3285</v>
      </c>
      <c r="I338" s="35" t="s">
        <v>2491</v>
      </c>
      <c r="J338" s="38" t="s">
        <v>4586</v>
      </c>
      <c r="K338" s="38" t="s">
        <v>2586</v>
      </c>
      <c r="L338" s="49">
        <v>450000</v>
      </c>
      <c r="M338" s="49">
        <v>0</v>
      </c>
      <c r="N338" s="49">
        <v>225000</v>
      </c>
      <c r="O338" s="30">
        <f t="shared" si="6"/>
        <v>225000</v>
      </c>
      <c r="P338" s="44">
        <v>1.96</v>
      </c>
    </row>
    <row r="339" spans="2:16" x14ac:dyDescent="0.35">
      <c r="B339" s="39" t="s">
        <v>3284</v>
      </c>
      <c r="C339" s="80" t="s">
        <v>3457</v>
      </c>
      <c r="D339" s="40">
        <v>44803</v>
      </c>
      <c r="E339" s="36">
        <v>44859</v>
      </c>
      <c r="F339" s="36">
        <v>45657</v>
      </c>
      <c r="G339" s="64" t="s">
        <v>6</v>
      </c>
      <c r="H339" s="38" t="s">
        <v>3285</v>
      </c>
      <c r="I339" s="35" t="s">
        <v>2491</v>
      </c>
      <c r="J339" s="43" t="s">
        <v>4586</v>
      </c>
      <c r="K339" s="43" t="s">
        <v>3186</v>
      </c>
      <c r="L339" s="49">
        <v>150000</v>
      </c>
      <c r="M339" s="49">
        <v>0</v>
      </c>
      <c r="N339" s="49">
        <f>75000*2</f>
        <v>150000</v>
      </c>
      <c r="O339" s="30">
        <f t="shared" si="6"/>
        <v>0</v>
      </c>
      <c r="P339" s="44">
        <v>1.96</v>
      </c>
    </row>
    <row r="340" spans="2:16" x14ac:dyDescent="0.35">
      <c r="B340" s="35" t="s">
        <v>3324</v>
      </c>
      <c r="C340" s="104" t="s">
        <v>3385</v>
      </c>
      <c r="D340" s="36">
        <v>44823</v>
      </c>
      <c r="E340" s="36">
        <v>44865</v>
      </c>
      <c r="F340" s="36">
        <v>45838</v>
      </c>
      <c r="G340" s="64" t="s">
        <v>6</v>
      </c>
      <c r="H340" s="38" t="s">
        <v>3389</v>
      </c>
      <c r="I340" s="35" t="s">
        <v>3416</v>
      </c>
      <c r="J340" s="43" t="s">
        <v>3415</v>
      </c>
      <c r="K340" s="43" t="s">
        <v>3335</v>
      </c>
      <c r="L340" s="30">
        <v>10000</v>
      </c>
      <c r="M340" s="30">
        <v>0</v>
      </c>
      <c r="N340" s="30">
        <v>0</v>
      </c>
      <c r="O340" s="30">
        <f t="shared" si="6"/>
        <v>10000</v>
      </c>
      <c r="P340" s="44" t="s">
        <v>2874</v>
      </c>
    </row>
    <row r="341" spans="2:16" ht="29" x14ac:dyDescent="0.35">
      <c r="B341" s="39" t="s">
        <v>3017</v>
      </c>
      <c r="C341" s="80" t="s">
        <v>3595</v>
      </c>
      <c r="D341" s="40">
        <v>44589</v>
      </c>
      <c r="E341" s="36">
        <v>44866</v>
      </c>
      <c r="F341" s="36">
        <v>46691</v>
      </c>
      <c r="G341" s="64" t="s">
        <v>6</v>
      </c>
      <c r="H341" s="38" t="s">
        <v>3023</v>
      </c>
      <c r="I341" s="61" t="s">
        <v>2816</v>
      </c>
      <c r="J341" s="38" t="s">
        <v>4554</v>
      </c>
      <c r="K341" s="38" t="s">
        <v>2586</v>
      </c>
      <c r="L341" s="45">
        <v>49200</v>
      </c>
      <c r="M341" s="49">
        <v>0</v>
      </c>
      <c r="N341" s="49">
        <v>3000</v>
      </c>
      <c r="O341" s="30">
        <f t="shared" si="6"/>
        <v>46200</v>
      </c>
      <c r="P341" s="44">
        <v>3.03</v>
      </c>
    </row>
    <row r="342" spans="2:16" x14ac:dyDescent="0.35">
      <c r="B342" s="39" t="s">
        <v>3220</v>
      </c>
      <c r="C342" s="80" t="s">
        <v>3459</v>
      </c>
      <c r="D342" s="40">
        <v>44792</v>
      </c>
      <c r="E342" s="36">
        <v>44866</v>
      </c>
      <c r="F342" s="36">
        <v>46691</v>
      </c>
      <c r="G342" s="64" t="s">
        <v>6</v>
      </c>
      <c r="H342" s="38" t="s">
        <v>3225</v>
      </c>
      <c r="I342" s="35" t="s">
        <v>2498</v>
      </c>
      <c r="J342" s="38" t="s">
        <v>4581</v>
      </c>
      <c r="K342" s="38" t="s">
        <v>2586</v>
      </c>
      <c r="L342" s="49">
        <v>25000</v>
      </c>
      <c r="M342" s="49">
        <v>0</v>
      </c>
      <c r="N342" s="49">
        <f>1461.5+2359.72</f>
        <v>3821.22</v>
      </c>
      <c r="O342" s="30">
        <f t="shared" si="6"/>
        <v>21178.78</v>
      </c>
      <c r="P342" s="44">
        <v>2.77</v>
      </c>
    </row>
    <row r="343" spans="2:16" x14ac:dyDescent="0.35">
      <c r="B343" s="39" t="s">
        <v>3221</v>
      </c>
      <c r="C343" s="80" t="s">
        <v>3458</v>
      </c>
      <c r="D343" s="40">
        <v>44792</v>
      </c>
      <c r="E343" s="36">
        <v>44866</v>
      </c>
      <c r="F343" s="36">
        <v>46691</v>
      </c>
      <c r="G343" s="64" t="s">
        <v>6</v>
      </c>
      <c r="H343" s="38" t="s">
        <v>3225</v>
      </c>
      <c r="I343" s="35" t="s">
        <v>2498</v>
      </c>
      <c r="J343" s="38" t="s">
        <v>4581</v>
      </c>
      <c r="K343" s="38" t="s">
        <v>2583</v>
      </c>
      <c r="L343" s="49">
        <v>7500</v>
      </c>
      <c r="M343" s="49">
        <v>0</v>
      </c>
      <c r="N343" s="49">
        <v>1000</v>
      </c>
      <c r="O343" s="30">
        <f t="shared" si="6"/>
        <v>6500</v>
      </c>
      <c r="P343" s="44">
        <v>2.77</v>
      </c>
    </row>
    <row r="344" spans="2:16" x14ac:dyDescent="0.35">
      <c r="B344" s="39" t="s">
        <v>3201</v>
      </c>
      <c r="C344" s="80" t="s">
        <v>3402</v>
      </c>
      <c r="D344" s="40">
        <v>44749</v>
      </c>
      <c r="E344" s="36">
        <v>44875</v>
      </c>
      <c r="F344" s="36">
        <v>46700</v>
      </c>
      <c r="G344" s="64" t="s">
        <v>6</v>
      </c>
      <c r="H344" s="38" t="s">
        <v>3212</v>
      </c>
      <c r="I344" s="35" t="s">
        <v>2494</v>
      </c>
      <c r="J344" s="38" t="s">
        <v>3213</v>
      </c>
      <c r="K344" s="38" t="s">
        <v>3336</v>
      </c>
      <c r="L344" s="49">
        <v>52982</v>
      </c>
      <c r="M344" s="49">
        <v>0</v>
      </c>
      <c r="N344" s="49">
        <v>0</v>
      </c>
      <c r="O344" s="30">
        <f t="shared" si="6"/>
        <v>52982</v>
      </c>
      <c r="P344" s="44" t="s">
        <v>2874</v>
      </c>
    </row>
    <row r="345" spans="2:16" ht="29" x14ac:dyDescent="0.35">
      <c r="B345" s="39" t="s">
        <v>721</v>
      </c>
      <c r="C345" s="101" t="s">
        <v>3371</v>
      </c>
      <c r="D345" s="40">
        <v>43777</v>
      </c>
      <c r="E345" s="40">
        <v>44876</v>
      </c>
      <c r="F345" s="40">
        <v>46168</v>
      </c>
      <c r="G345" s="63" t="s">
        <v>5683</v>
      </c>
      <c r="H345" s="38" t="s">
        <v>722</v>
      </c>
      <c r="I345" s="39" t="s">
        <v>2476</v>
      </c>
      <c r="J345" s="38" t="s">
        <v>2578</v>
      </c>
      <c r="K345" s="38" t="s">
        <v>2587</v>
      </c>
      <c r="L345" s="31">
        <v>1288000</v>
      </c>
      <c r="M345" s="31">
        <v>812400</v>
      </c>
      <c r="N345" s="31">
        <v>475600</v>
      </c>
      <c r="O345" s="30">
        <f t="shared" si="6"/>
        <v>0</v>
      </c>
      <c r="P345" s="26">
        <v>4.79</v>
      </c>
    </row>
    <row r="346" spans="2:16" ht="29" x14ac:dyDescent="0.35">
      <c r="B346" s="39" t="s">
        <v>723</v>
      </c>
      <c r="C346" s="101" t="s">
        <v>3372</v>
      </c>
      <c r="D346" s="40">
        <v>43777</v>
      </c>
      <c r="E346" s="40">
        <v>44876</v>
      </c>
      <c r="F346" s="40">
        <v>46168</v>
      </c>
      <c r="G346" s="63" t="s">
        <v>6</v>
      </c>
      <c r="H346" s="38" t="s">
        <v>722</v>
      </c>
      <c r="I346" s="39" t="s">
        <v>2476</v>
      </c>
      <c r="J346" s="38" t="s">
        <v>2578</v>
      </c>
      <c r="K346" s="38" t="s">
        <v>2589</v>
      </c>
      <c r="L346" s="31">
        <v>300000</v>
      </c>
      <c r="M346" s="31">
        <v>0</v>
      </c>
      <c r="N346" s="31">
        <f>99042.1+106.4</f>
        <v>99148.5</v>
      </c>
      <c r="O346" s="30">
        <f t="shared" si="6"/>
        <v>200851.5</v>
      </c>
      <c r="P346" s="26">
        <v>4.79</v>
      </c>
    </row>
    <row r="347" spans="2:16" ht="58" x14ac:dyDescent="0.35">
      <c r="B347" s="35" t="s">
        <v>3350</v>
      </c>
      <c r="C347" s="80" t="s">
        <v>3403</v>
      </c>
      <c r="D347" s="36">
        <v>44781</v>
      </c>
      <c r="E347" s="36">
        <v>44880</v>
      </c>
      <c r="F347" s="36">
        <v>45975</v>
      </c>
      <c r="G347" s="64" t="s">
        <v>6</v>
      </c>
      <c r="H347" s="43" t="s">
        <v>119</v>
      </c>
      <c r="I347" s="35" t="s">
        <v>2485</v>
      </c>
      <c r="J347" s="43" t="s">
        <v>3411</v>
      </c>
      <c r="K347" s="43" t="s">
        <v>2573</v>
      </c>
      <c r="L347" s="30">
        <v>1802.88</v>
      </c>
      <c r="M347" s="30">
        <v>0</v>
      </c>
      <c r="N347" s="30">
        <v>1634.42</v>
      </c>
      <c r="O347" s="30">
        <f t="shared" si="6"/>
        <v>168.46000000000004</v>
      </c>
      <c r="P347" s="44" t="s">
        <v>2874</v>
      </c>
    </row>
    <row r="348" spans="2:16" x14ac:dyDescent="0.35">
      <c r="B348" s="35" t="s">
        <v>3112</v>
      </c>
      <c r="C348" s="80" t="s">
        <v>3374</v>
      </c>
      <c r="D348" s="36">
        <v>44412</v>
      </c>
      <c r="E348" s="36">
        <v>44881</v>
      </c>
      <c r="F348" s="36">
        <v>45808</v>
      </c>
      <c r="G348" s="64" t="s">
        <v>6</v>
      </c>
      <c r="H348" s="43" t="s">
        <v>3262</v>
      </c>
      <c r="I348" s="35" t="s">
        <v>2480</v>
      </c>
      <c r="J348" s="43" t="s">
        <v>5236</v>
      </c>
      <c r="K348" s="43" t="s">
        <v>3181</v>
      </c>
      <c r="L348" s="49">
        <v>30000</v>
      </c>
      <c r="M348" s="49">
        <v>0</v>
      </c>
      <c r="N348" s="49">
        <f>15000+5000</f>
        <v>20000</v>
      </c>
      <c r="O348" s="30">
        <f t="shared" si="6"/>
        <v>10000</v>
      </c>
      <c r="P348" s="44" t="s">
        <v>2874</v>
      </c>
    </row>
    <row r="349" spans="2:16" x14ac:dyDescent="0.35">
      <c r="B349" s="35" t="s">
        <v>3112</v>
      </c>
      <c r="C349" s="80" t="s">
        <v>3373</v>
      </c>
      <c r="D349" s="36">
        <v>44412</v>
      </c>
      <c r="E349" s="36">
        <v>44883</v>
      </c>
      <c r="F349" s="36">
        <v>45808</v>
      </c>
      <c r="G349" s="64" t="s">
        <v>6</v>
      </c>
      <c r="H349" s="43" t="s">
        <v>3253</v>
      </c>
      <c r="I349" s="35" t="s">
        <v>2521</v>
      </c>
      <c r="J349" s="43" t="s">
        <v>5236</v>
      </c>
      <c r="K349" s="43" t="s">
        <v>3181</v>
      </c>
      <c r="L349" s="49">
        <v>30000</v>
      </c>
      <c r="M349" s="49">
        <v>0</v>
      </c>
      <c r="N349" s="49">
        <f>15000+5000</f>
        <v>20000</v>
      </c>
      <c r="O349" s="30">
        <f t="shared" si="6"/>
        <v>10000</v>
      </c>
      <c r="P349" s="44" t="s">
        <v>2874</v>
      </c>
    </row>
    <row r="350" spans="2:16" ht="43.5" x14ac:dyDescent="0.35">
      <c r="B350" s="35" t="s">
        <v>3110</v>
      </c>
      <c r="C350" s="80" t="s">
        <v>3407</v>
      </c>
      <c r="D350" s="36">
        <v>44462</v>
      </c>
      <c r="E350" s="36">
        <v>44888</v>
      </c>
      <c r="F350" s="36">
        <v>46713</v>
      </c>
      <c r="G350" s="64" t="s">
        <v>6</v>
      </c>
      <c r="H350" s="38" t="s">
        <v>3325</v>
      </c>
      <c r="I350" s="35" t="s">
        <v>2480</v>
      </c>
      <c r="J350" s="43" t="s">
        <v>4568</v>
      </c>
      <c r="K350" s="43" t="s">
        <v>2655</v>
      </c>
      <c r="L350" s="49">
        <v>2000000</v>
      </c>
      <c r="M350" s="49">
        <v>0</v>
      </c>
      <c r="N350" s="49">
        <f>500000+375000</f>
        <v>875000</v>
      </c>
      <c r="O350" s="30">
        <f t="shared" si="6"/>
        <v>1125000</v>
      </c>
      <c r="P350" s="44" t="s">
        <v>3412</v>
      </c>
    </row>
    <row r="351" spans="2:16" x14ac:dyDescent="0.35">
      <c r="B351" s="39" t="s">
        <v>3137</v>
      </c>
      <c r="C351" s="80" t="s">
        <v>3408</v>
      </c>
      <c r="D351" s="40">
        <v>44680</v>
      </c>
      <c r="E351" s="36">
        <v>44888</v>
      </c>
      <c r="F351" s="36">
        <v>46713</v>
      </c>
      <c r="G351" s="64" t="s">
        <v>5683</v>
      </c>
      <c r="H351" s="38" t="s">
        <v>3140</v>
      </c>
      <c r="I351" s="39" t="s">
        <v>3015</v>
      </c>
      <c r="J351" s="43" t="s">
        <v>3141</v>
      </c>
      <c r="K351" s="43" t="s">
        <v>3186</v>
      </c>
      <c r="L351" s="45">
        <v>480000</v>
      </c>
      <c r="M351" s="49">
        <v>480000</v>
      </c>
      <c r="N351" s="49">
        <v>0</v>
      </c>
      <c r="O351" s="30">
        <f t="shared" si="6"/>
        <v>0</v>
      </c>
      <c r="P351" s="44">
        <v>6.76</v>
      </c>
    </row>
    <row r="352" spans="2:16" x14ac:dyDescent="0.35">
      <c r="B352" s="39" t="s">
        <v>3138</v>
      </c>
      <c r="C352" s="80" t="s">
        <v>3409</v>
      </c>
      <c r="D352" s="40">
        <v>44680</v>
      </c>
      <c r="E352" s="36">
        <v>44888</v>
      </c>
      <c r="F352" s="36">
        <v>47444</v>
      </c>
      <c r="G352" s="64" t="s">
        <v>5683</v>
      </c>
      <c r="H352" s="38" t="s">
        <v>3140</v>
      </c>
      <c r="I352" s="39" t="s">
        <v>3015</v>
      </c>
      <c r="J352" s="38" t="s">
        <v>3141</v>
      </c>
      <c r="K352" s="38" t="s">
        <v>2586</v>
      </c>
      <c r="L352" s="45">
        <v>4000000</v>
      </c>
      <c r="M352" s="49">
        <v>4000000</v>
      </c>
      <c r="N352" s="49">
        <v>0</v>
      </c>
      <c r="O352" s="30">
        <f t="shared" si="6"/>
        <v>0</v>
      </c>
      <c r="P352" s="44">
        <v>6.76</v>
      </c>
    </row>
    <row r="353" spans="2:16" ht="43.5" x14ac:dyDescent="0.35">
      <c r="B353" s="39" t="s">
        <v>716</v>
      </c>
      <c r="C353" s="80" t="s">
        <v>3386</v>
      </c>
      <c r="D353" s="40">
        <v>43777</v>
      </c>
      <c r="E353" s="46">
        <v>44888</v>
      </c>
      <c r="F353" s="46">
        <v>46713</v>
      </c>
      <c r="G353" s="64" t="s">
        <v>6</v>
      </c>
      <c r="H353" s="38" t="s">
        <v>717</v>
      </c>
      <c r="I353" s="35" t="s">
        <v>2478</v>
      </c>
      <c r="J353" s="38" t="s">
        <v>4571</v>
      </c>
      <c r="K353" s="38" t="s">
        <v>2587</v>
      </c>
      <c r="L353" s="49">
        <v>60000</v>
      </c>
      <c r="M353" s="49">
        <v>0</v>
      </c>
      <c r="N353" s="49">
        <v>0</v>
      </c>
      <c r="O353" s="30">
        <f t="shared" si="6"/>
        <v>60000</v>
      </c>
      <c r="P353" s="26">
        <v>-0.55000000000000004</v>
      </c>
    </row>
    <row r="354" spans="2:16" ht="43.5" x14ac:dyDescent="0.35">
      <c r="B354" s="39" t="s">
        <v>3185</v>
      </c>
      <c r="C354" s="80" t="s">
        <v>3387</v>
      </c>
      <c r="D354" s="40">
        <v>43777</v>
      </c>
      <c r="E354" s="46">
        <v>44888</v>
      </c>
      <c r="F354" s="46">
        <v>46713</v>
      </c>
      <c r="G354" s="64" t="s">
        <v>6</v>
      </c>
      <c r="H354" s="38" t="s">
        <v>717</v>
      </c>
      <c r="I354" s="35" t="s">
        <v>2478</v>
      </c>
      <c r="J354" s="43" t="s">
        <v>4571</v>
      </c>
      <c r="K354" s="43" t="s">
        <v>2589</v>
      </c>
      <c r="L354" s="49">
        <v>1000000</v>
      </c>
      <c r="M354" s="49">
        <v>0</v>
      </c>
      <c r="N354" s="49">
        <v>0</v>
      </c>
      <c r="O354" s="30">
        <f t="shared" si="6"/>
        <v>1000000</v>
      </c>
      <c r="P354" s="26">
        <v>-0.55000000000000004</v>
      </c>
    </row>
    <row r="355" spans="2:16" ht="29" x14ac:dyDescent="0.35">
      <c r="B355" s="39" t="s">
        <v>3339</v>
      </c>
      <c r="C355" s="80" t="s">
        <v>3388</v>
      </c>
      <c r="D355" s="40">
        <v>44839</v>
      </c>
      <c r="E355" s="36">
        <v>44888</v>
      </c>
      <c r="F355" s="36">
        <v>46713</v>
      </c>
      <c r="G355" s="64" t="s">
        <v>6</v>
      </c>
      <c r="H355" s="38" t="s">
        <v>3342</v>
      </c>
      <c r="I355" s="35" t="s">
        <v>2479</v>
      </c>
      <c r="J355" s="38" t="s">
        <v>4588</v>
      </c>
      <c r="K355" s="38" t="s">
        <v>2583</v>
      </c>
      <c r="L355" s="45">
        <v>63000</v>
      </c>
      <c r="M355" s="49">
        <v>0</v>
      </c>
      <c r="N355" s="49">
        <v>0</v>
      </c>
      <c r="O355" s="30">
        <f t="shared" si="6"/>
        <v>63000</v>
      </c>
      <c r="P355" s="44">
        <v>-53.95</v>
      </c>
    </row>
    <row r="356" spans="2:16" x14ac:dyDescent="0.35">
      <c r="B356" s="39" t="s">
        <v>3215</v>
      </c>
      <c r="C356" s="80" t="s">
        <v>3404</v>
      </c>
      <c r="D356" s="40">
        <v>44781</v>
      </c>
      <c r="E356" s="36">
        <v>44895</v>
      </c>
      <c r="F356" s="36">
        <v>46720</v>
      </c>
      <c r="G356" s="64" t="s">
        <v>6</v>
      </c>
      <c r="H356" s="38" t="s">
        <v>1490</v>
      </c>
      <c r="I356" s="35" t="s">
        <v>2474</v>
      </c>
      <c r="J356" s="38" t="s">
        <v>2486</v>
      </c>
      <c r="K356" s="38" t="s">
        <v>2586</v>
      </c>
      <c r="L356" s="49">
        <v>50000</v>
      </c>
      <c r="M356" s="49">
        <v>0</v>
      </c>
      <c r="N356" s="49">
        <v>43622</v>
      </c>
      <c r="O356" s="30">
        <f t="shared" si="6"/>
        <v>6378</v>
      </c>
      <c r="P356" s="44">
        <v>8.9499999999999993</v>
      </c>
    </row>
    <row r="357" spans="2:16" x14ac:dyDescent="0.35">
      <c r="B357" s="39" t="s">
        <v>3218</v>
      </c>
      <c r="C357" s="80" t="s">
        <v>3469</v>
      </c>
      <c r="D357" s="40">
        <v>44781</v>
      </c>
      <c r="E357" s="36">
        <v>44900</v>
      </c>
      <c r="F357" s="36">
        <v>46725</v>
      </c>
      <c r="G357" s="64" t="s">
        <v>6</v>
      </c>
      <c r="H357" s="38" t="s">
        <v>3219</v>
      </c>
      <c r="I357" s="35" t="s">
        <v>2531</v>
      </c>
      <c r="J357" s="38" t="s">
        <v>4580</v>
      </c>
      <c r="K357" s="38" t="s">
        <v>2586</v>
      </c>
      <c r="L357" s="49">
        <v>14010</v>
      </c>
      <c r="M357" s="49">
        <v>0</v>
      </c>
      <c r="N357" s="49">
        <v>0</v>
      </c>
      <c r="O357" s="30">
        <f t="shared" si="6"/>
        <v>14010</v>
      </c>
      <c r="P357" s="44">
        <v>10.78</v>
      </c>
    </row>
    <row r="358" spans="2:16" x14ac:dyDescent="0.35">
      <c r="B358" s="39" t="s">
        <v>3099</v>
      </c>
      <c r="C358" s="80" t="s">
        <v>3470</v>
      </c>
      <c r="D358" s="40">
        <v>44678</v>
      </c>
      <c r="E358" s="36">
        <v>44903</v>
      </c>
      <c r="F358" s="36">
        <v>46728</v>
      </c>
      <c r="G358" s="64" t="s">
        <v>6</v>
      </c>
      <c r="H358" s="38" t="s">
        <v>3105</v>
      </c>
      <c r="I358" s="35" t="s">
        <v>2479</v>
      </c>
      <c r="J358" s="38" t="s">
        <v>4565</v>
      </c>
      <c r="K358" s="38" t="s">
        <v>2583</v>
      </c>
      <c r="L358" s="45">
        <v>37500</v>
      </c>
      <c r="M358" s="49">
        <v>0</v>
      </c>
      <c r="N358" s="49">
        <v>0</v>
      </c>
      <c r="O358" s="30">
        <f t="shared" si="6"/>
        <v>37500</v>
      </c>
      <c r="P358" s="44">
        <v>1.22</v>
      </c>
    </row>
    <row r="359" spans="2:16" x14ac:dyDescent="0.35">
      <c r="B359" s="39" t="s">
        <v>609</v>
      </c>
      <c r="C359" s="101" t="s">
        <v>3454</v>
      </c>
      <c r="D359" s="40">
        <v>43661</v>
      </c>
      <c r="E359" s="40">
        <v>44904</v>
      </c>
      <c r="F359" s="40">
        <v>46352</v>
      </c>
      <c r="G359" s="63" t="s">
        <v>6</v>
      </c>
      <c r="H359" s="38" t="s">
        <v>608</v>
      </c>
      <c r="I359" s="39" t="s">
        <v>2475</v>
      </c>
      <c r="J359" s="38" t="s">
        <v>4482</v>
      </c>
      <c r="K359" s="38" t="s">
        <v>2591</v>
      </c>
      <c r="L359" s="31">
        <v>4287600</v>
      </c>
      <c r="M359" s="31">
        <v>0</v>
      </c>
      <c r="N359" s="31">
        <v>1429200</v>
      </c>
      <c r="O359" s="30">
        <f t="shared" si="6"/>
        <v>2858400</v>
      </c>
      <c r="P359" s="26">
        <v>2.2200000000000002</v>
      </c>
    </row>
    <row r="360" spans="2:16" ht="29" x14ac:dyDescent="0.35">
      <c r="B360" s="35" t="s">
        <v>3348</v>
      </c>
      <c r="C360" s="80" t="s">
        <v>3496</v>
      </c>
      <c r="D360" s="36">
        <v>44781</v>
      </c>
      <c r="E360" s="36">
        <v>44909</v>
      </c>
      <c r="F360" s="36">
        <v>45456</v>
      </c>
      <c r="G360" s="64" t="s">
        <v>6</v>
      </c>
      <c r="H360" s="43" t="s">
        <v>3497</v>
      </c>
      <c r="I360" s="35" t="s">
        <v>3334</v>
      </c>
      <c r="J360" s="43" t="s">
        <v>3179</v>
      </c>
      <c r="K360" s="43" t="s">
        <v>3555</v>
      </c>
      <c r="L360" s="30">
        <v>6731.48</v>
      </c>
      <c r="M360" s="30">
        <v>0</v>
      </c>
      <c r="N360" s="30">
        <v>3365.74</v>
      </c>
      <c r="O360" s="30">
        <f t="shared" si="6"/>
        <v>3365.74</v>
      </c>
      <c r="P360" s="44" t="s">
        <v>2874</v>
      </c>
    </row>
    <row r="361" spans="2:16" ht="29" x14ac:dyDescent="0.35">
      <c r="B361" s="35" t="s">
        <v>3348</v>
      </c>
      <c r="C361" s="80" t="s">
        <v>3498</v>
      </c>
      <c r="D361" s="36">
        <v>44781</v>
      </c>
      <c r="E361" s="36">
        <v>44909</v>
      </c>
      <c r="F361" s="36">
        <v>45456</v>
      </c>
      <c r="G361" s="64" t="s">
        <v>6</v>
      </c>
      <c r="H361" s="43" t="s">
        <v>3499</v>
      </c>
      <c r="I361" s="35" t="s">
        <v>2483</v>
      </c>
      <c r="J361" s="43" t="s">
        <v>4610</v>
      </c>
      <c r="K361" s="43" t="s">
        <v>3555</v>
      </c>
      <c r="L361" s="30">
        <v>6306.33</v>
      </c>
      <c r="M361" s="30">
        <v>0</v>
      </c>
      <c r="N361" s="30">
        <f>3153.16+2729.63</f>
        <v>5882.79</v>
      </c>
      <c r="O361" s="30">
        <f t="shared" si="6"/>
        <v>423.53999999999996</v>
      </c>
      <c r="P361" s="44" t="s">
        <v>2874</v>
      </c>
    </row>
    <row r="362" spans="2:16" ht="43.5" x14ac:dyDescent="0.35">
      <c r="B362" s="35" t="s">
        <v>3348</v>
      </c>
      <c r="C362" s="80" t="s">
        <v>3500</v>
      </c>
      <c r="D362" s="36">
        <v>44781</v>
      </c>
      <c r="E362" s="36">
        <v>44909</v>
      </c>
      <c r="F362" s="36">
        <v>45456</v>
      </c>
      <c r="G362" s="64" t="s">
        <v>5683</v>
      </c>
      <c r="H362" s="43" t="s">
        <v>3501</v>
      </c>
      <c r="I362" s="35" t="s">
        <v>2521</v>
      </c>
      <c r="J362" s="43" t="s">
        <v>3544</v>
      </c>
      <c r="K362" s="43" t="s">
        <v>3555</v>
      </c>
      <c r="L362" s="30">
        <v>10000</v>
      </c>
      <c r="M362" s="30">
        <v>25.62</v>
      </c>
      <c r="N362" s="30">
        <f>5000+4974.38</f>
        <v>9974.380000000001</v>
      </c>
      <c r="O362" s="30">
        <f t="shared" si="6"/>
        <v>0</v>
      </c>
      <c r="P362" s="44" t="s">
        <v>6516</v>
      </c>
    </row>
    <row r="363" spans="2:16" ht="29" x14ac:dyDescent="0.35">
      <c r="B363" s="35" t="s">
        <v>3348</v>
      </c>
      <c r="C363" s="80" t="s">
        <v>3502</v>
      </c>
      <c r="D363" s="36">
        <v>44781</v>
      </c>
      <c r="E363" s="36">
        <v>44909</v>
      </c>
      <c r="F363" s="36">
        <v>45456</v>
      </c>
      <c r="G363" s="64" t="s">
        <v>6</v>
      </c>
      <c r="H363" s="43" t="s">
        <v>4097</v>
      </c>
      <c r="I363" s="35" t="s">
        <v>2529</v>
      </c>
      <c r="J363" s="43" t="s">
        <v>4611</v>
      </c>
      <c r="K363" s="43" t="s">
        <v>3555</v>
      </c>
      <c r="L363" s="30">
        <v>10000</v>
      </c>
      <c r="M363" s="30">
        <v>0</v>
      </c>
      <c r="N363" s="30">
        <f>5000+1714.35</f>
        <v>6714.35</v>
      </c>
      <c r="O363" s="30">
        <f t="shared" si="6"/>
        <v>3285.6499999999996</v>
      </c>
      <c r="P363" s="44" t="s">
        <v>2874</v>
      </c>
    </row>
    <row r="364" spans="2:16" ht="29" x14ac:dyDescent="0.35">
      <c r="B364" s="39" t="s">
        <v>2990</v>
      </c>
      <c r="C364" s="80" t="s">
        <v>3463</v>
      </c>
      <c r="D364" s="40">
        <v>44585</v>
      </c>
      <c r="E364" s="36">
        <v>44910</v>
      </c>
      <c r="F364" s="36">
        <v>46735</v>
      </c>
      <c r="G364" s="64" t="s">
        <v>5683</v>
      </c>
      <c r="H364" s="38" t="s">
        <v>3006</v>
      </c>
      <c r="I364" s="35" t="s">
        <v>2508</v>
      </c>
      <c r="J364" s="38" t="s">
        <v>4545</v>
      </c>
      <c r="K364" s="38" t="s">
        <v>2655</v>
      </c>
      <c r="L364" s="45">
        <v>5525000</v>
      </c>
      <c r="M364" s="30">
        <v>4728000</v>
      </c>
      <c r="N364" s="30">
        <v>797000</v>
      </c>
      <c r="O364" s="30">
        <f t="shared" si="6"/>
        <v>0</v>
      </c>
      <c r="P364" s="44" t="s">
        <v>6673</v>
      </c>
    </row>
    <row r="365" spans="2:16" x14ac:dyDescent="0.35">
      <c r="B365" s="39" t="s">
        <v>2991</v>
      </c>
      <c r="C365" s="80" t="s">
        <v>3464</v>
      </c>
      <c r="D365" s="40">
        <v>44585</v>
      </c>
      <c r="E365" s="36">
        <v>44910</v>
      </c>
      <c r="F365" s="36">
        <v>46735</v>
      </c>
      <c r="G365" s="64" t="s">
        <v>6</v>
      </c>
      <c r="H365" s="38" t="s">
        <v>3006</v>
      </c>
      <c r="I365" s="35" t="s">
        <v>2508</v>
      </c>
      <c r="J365" s="38" t="s">
        <v>4545</v>
      </c>
      <c r="K365" s="38" t="s">
        <v>2586</v>
      </c>
      <c r="L365" s="45">
        <v>28000000</v>
      </c>
      <c r="M365" s="30">
        <v>0</v>
      </c>
      <c r="N365" s="30">
        <f>2295914.92+2516350.86+134.33</f>
        <v>4812400.1099999994</v>
      </c>
      <c r="O365" s="30">
        <f t="shared" si="6"/>
        <v>23187599.890000001</v>
      </c>
      <c r="P365" s="44">
        <v>2.4500000000000002</v>
      </c>
    </row>
    <row r="366" spans="2:16" ht="29" x14ac:dyDescent="0.35">
      <c r="B366" s="39" t="s">
        <v>3359</v>
      </c>
      <c r="C366" s="80" t="s">
        <v>3462</v>
      </c>
      <c r="D366" s="40">
        <v>44873</v>
      </c>
      <c r="E366" s="36">
        <v>44914</v>
      </c>
      <c r="F366" s="36">
        <v>46739</v>
      </c>
      <c r="G366" s="64" t="s">
        <v>6</v>
      </c>
      <c r="H366" s="38" t="s">
        <v>3367</v>
      </c>
      <c r="I366" s="35" t="s">
        <v>2782</v>
      </c>
      <c r="J366" s="43" t="s">
        <v>3368</v>
      </c>
      <c r="K366" s="43" t="s">
        <v>3336</v>
      </c>
      <c r="L366" s="45">
        <v>90525</v>
      </c>
      <c r="M366" s="30">
        <v>0</v>
      </c>
      <c r="N366" s="30">
        <v>0</v>
      </c>
      <c r="O366" s="30">
        <f t="shared" si="6"/>
        <v>90525</v>
      </c>
      <c r="P366" s="44" t="s">
        <v>2874</v>
      </c>
    </row>
    <row r="367" spans="2:16" x14ac:dyDescent="0.35">
      <c r="B367" s="35" t="s">
        <v>3350</v>
      </c>
      <c r="C367" s="80" t="s">
        <v>3465</v>
      </c>
      <c r="D367" s="36">
        <v>44781</v>
      </c>
      <c r="E367" s="36">
        <v>44914</v>
      </c>
      <c r="F367" s="36">
        <v>46009</v>
      </c>
      <c r="G367" s="64" t="s">
        <v>6</v>
      </c>
      <c r="H367" s="43" t="s">
        <v>1780</v>
      </c>
      <c r="I367" s="35" t="s">
        <v>2804</v>
      </c>
      <c r="J367" s="38" t="s">
        <v>4603</v>
      </c>
      <c r="K367" s="38" t="s">
        <v>2573</v>
      </c>
      <c r="L367" s="30">
        <v>1172.04</v>
      </c>
      <c r="M367" s="30">
        <v>0</v>
      </c>
      <c r="N367" s="30">
        <v>745.38</v>
      </c>
      <c r="O367" s="30">
        <f t="shared" si="6"/>
        <v>426.65999999999997</v>
      </c>
      <c r="P367" s="44" t="s">
        <v>2874</v>
      </c>
    </row>
    <row r="368" spans="2:16" x14ac:dyDescent="0.35">
      <c r="B368" s="35" t="s">
        <v>3350</v>
      </c>
      <c r="C368" s="80" t="s">
        <v>3466</v>
      </c>
      <c r="D368" s="36">
        <v>44781</v>
      </c>
      <c r="E368" s="36">
        <v>44914</v>
      </c>
      <c r="F368" s="36">
        <v>46009</v>
      </c>
      <c r="G368" s="64" t="s">
        <v>6</v>
      </c>
      <c r="H368" s="43" t="s">
        <v>3467</v>
      </c>
      <c r="I368" s="35" t="s">
        <v>2476</v>
      </c>
      <c r="J368" s="38" t="s">
        <v>3479</v>
      </c>
      <c r="K368" s="38" t="s">
        <v>2573</v>
      </c>
      <c r="L368" s="30">
        <v>1143.99</v>
      </c>
      <c r="M368" s="30">
        <v>0</v>
      </c>
      <c r="N368" s="30">
        <v>0</v>
      </c>
      <c r="O368" s="30">
        <f t="shared" si="6"/>
        <v>1143.99</v>
      </c>
      <c r="P368" s="44" t="s">
        <v>2874</v>
      </c>
    </row>
    <row r="369" spans="2:16" x14ac:dyDescent="0.35">
      <c r="B369" s="35" t="s">
        <v>3350</v>
      </c>
      <c r="C369" s="80" t="s">
        <v>3468</v>
      </c>
      <c r="D369" s="36">
        <v>44781</v>
      </c>
      <c r="E369" s="36">
        <v>44914</v>
      </c>
      <c r="F369" s="36">
        <v>46009</v>
      </c>
      <c r="G369" s="64" t="s">
        <v>6</v>
      </c>
      <c r="H369" s="43" t="s">
        <v>3554</v>
      </c>
      <c r="I369" s="35" t="s">
        <v>2804</v>
      </c>
      <c r="J369" s="38" t="s">
        <v>4604</v>
      </c>
      <c r="K369" s="38" t="s">
        <v>2573</v>
      </c>
      <c r="L369" s="30">
        <v>2000</v>
      </c>
      <c r="M369" s="30">
        <v>0</v>
      </c>
      <c r="N369" s="30">
        <v>0</v>
      </c>
      <c r="O369" s="30">
        <f t="shared" si="6"/>
        <v>2000</v>
      </c>
      <c r="P369" s="44" t="s">
        <v>2874</v>
      </c>
    </row>
    <row r="370" spans="2:16" x14ac:dyDescent="0.35">
      <c r="B370" s="39" t="s">
        <v>3222</v>
      </c>
      <c r="C370" s="80" t="s">
        <v>3473</v>
      </c>
      <c r="D370" s="40">
        <v>44781</v>
      </c>
      <c r="E370" s="36">
        <v>44922</v>
      </c>
      <c r="F370" s="36">
        <v>46747</v>
      </c>
      <c r="G370" s="64" t="s">
        <v>6</v>
      </c>
      <c r="H370" s="38" t="s">
        <v>3224</v>
      </c>
      <c r="I370" s="35" t="s">
        <v>2518</v>
      </c>
      <c r="J370" s="38" t="s">
        <v>4579</v>
      </c>
      <c r="K370" s="38" t="s">
        <v>2583</v>
      </c>
      <c r="L370" s="49">
        <v>15000</v>
      </c>
      <c r="M370" s="49">
        <v>0</v>
      </c>
      <c r="N370" s="49">
        <v>7500</v>
      </c>
      <c r="O370" s="30">
        <f t="shared" si="6"/>
        <v>7500</v>
      </c>
      <c r="P370" s="44">
        <v>1.1299999999999999</v>
      </c>
    </row>
    <row r="371" spans="2:16" x14ac:dyDescent="0.35">
      <c r="B371" s="35" t="s">
        <v>3112</v>
      </c>
      <c r="C371" s="80" t="s">
        <v>3471</v>
      </c>
      <c r="D371" s="36">
        <v>44412</v>
      </c>
      <c r="E371" s="36">
        <v>44922</v>
      </c>
      <c r="F371" s="36">
        <v>46538</v>
      </c>
      <c r="G371" s="64" t="s">
        <v>6</v>
      </c>
      <c r="H371" s="43" t="s">
        <v>3472</v>
      </c>
      <c r="I371" s="35" t="s">
        <v>2485</v>
      </c>
      <c r="J371" s="43" t="s">
        <v>5236</v>
      </c>
      <c r="K371" s="43" t="s">
        <v>3181</v>
      </c>
      <c r="L371" s="30">
        <v>40000</v>
      </c>
      <c r="M371" s="30">
        <v>0</v>
      </c>
      <c r="N371" s="30">
        <f>5000*3+5000+5000</f>
        <v>25000</v>
      </c>
      <c r="O371" s="30">
        <f t="shared" si="6"/>
        <v>15000</v>
      </c>
      <c r="P371" s="44" t="s">
        <v>2874</v>
      </c>
    </row>
    <row r="372" spans="2:16" ht="29" x14ac:dyDescent="0.35">
      <c r="B372" s="35" t="s">
        <v>3348</v>
      </c>
      <c r="C372" s="80" t="s">
        <v>3503</v>
      </c>
      <c r="D372" s="36">
        <v>44781</v>
      </c>
      <c r="E372" s="36">
        <v>44935</v>
      </c>
      <c r="F372" s="36">
        <v>45481</v>
      </c>
      <c r="G372" s="64" t="s">
        <v>6</v>
      </c>
      <c r="H372" s="43" t="s">
        <v>3504</v>
      </c>
      <c r="I372" s="35" t="s">
        <v>2534</v>
      </c>
      <c r="J372" s="43" t="s">
        <v>3545</v>
      </c>
      <c r="K372" s="43" t="s">
        <v>3555</v>
      </c>
      <c r="L372" s="30">
        <v>10000</v>
      </c>
      <c r="M372" s="30">
        <v>0</v>
      </c>
      <c r="N372" s="30">
        <v>5000</v>
      </c>
      <c r="O372" s="30">
        <f t="shared" si="6"/>
        <v>5000</v>
      </c>
      <c r="P372" s="44" t="s">
        <v>2874</v>
      </c>
    </row>
    <row r="373" spans="2:16" ht="29" x14ac:dyDescent="0.35">
      <c r="B373" s="35" t="s">
        <v>3348</v>
      </c>
      <c r="C373" s="80" t="s">
        <v>3505</v>
      </c>
      <c r="D373" s="36">
        <v>44781</v>
      </c>
      <c r="E373" s="36">
        <v>44935</v>
      </c>
      <c r="F373" s="36">
        <v>45481</v>
      </c>
      <c r="G373" s="64" t="s">
        <v>6</v>
      </c>
      <c r="H373" s="43" t="s">
        <v>3353</v>
      </c>
      <c r="I373" s="35" t="s">
        <v>3177</v>
      </c>
      <c r="J373" s="43"/>
      <c r="K373" s="43" t="s">
        <v>3555</v>
      </c>
      <c r="L373" s="30">
        <v>10000</v>
      </c>
      <c r="M373" s="30">
        <v>0</v>
      </c>
      <c r="N373" s="30">
        <v>5000</v>
      </c>
      <c r="O373" s="30">
        <f t="shared" si="6"/>
        <v>5000</v>
      </c>
      <c r="P373" s="44" t="s">
        <v>2874</v>
      </c>
    </row>
    <row r="374" spans="2:16" ht="29" x14ac:dyDescent="0.35">
      <c r="B374" s="35" t="s">
        <v>3348</v>
      </c>
      <c r="C374" s="80" t="s">
        <v>3506</v>
      </c>
      <c r="D374" s="36">
        <v>44781</v>
      </c>
      <c r="E374" s="36">
        <v>44935</v>
      </c>
      <c r="F374" s="36">
        <v>45481</v>
      </c>
      <c r="G374" s="64" t="s">
        <v>6</v>
      </c>
      <c r="H374" s="43" t="s">
        <v>3507</v>
      </c>
      <c r="I374" s="35" t="s">
        <v>2816</v>
      </c>
      <c r="J374" s="43" t="s">
        <v>4612</v>
      </c>
      <c r="K374" s="43" t="s">
        <v>3555</v>
      </c>
      <c r="L374" s="30">
        <v>10000</v>
      </c>
      <c r="M374" s="30">
        <v>0</v>
      </c>
      <c r="N374" s="30">
        <f>5000+4010.64</f>
        <v>9010.64</v>
      </c>
      <c r="O374" s="30">
        <f t="shared" si="6"/>
        <v>989.36000000000058</v>
      </c>
      <c r="P374" s="44" t="s">
        <v>2874</v>
      </c>
    </row>
    <row r="375" spans="2:16" ht="29" x14ac:dyDescent="0.35">
      <c r="B375" s="35" t="s">
        <v>3348</v>
      </c>
      <c r="C375" s="80" t="s">
        <v>3508</v>
      </c>
      <c r="D375" s="36">
        <v>44781</v>
      </c>
      <c r="E375" s="36">
        <v>44935</v>
      </c>
      <c r="F375" s="36">
        <v>45481</v>
      </c>
      <c r="G375" s="64" t="s">
        <v>6</v>
      </c>
      <c r="H375" s="43" t="s">
        <v>3509</v>
      </c>
      <c r="I375" s="35" t="s">
        <v>2494</v>
      </c>
      <c r="J375" s="43"/>
      <c r="K375" s="43" t="s">
        <v>3555</v>
      </c>
      <c r="L375" s="30">
        <v>10000</v>
      </c>
      <c r="M375" s="30">
        <v>0</v>
      </c>
      <c r="N375" s="30">
        <f>5000+2365.45</f>
        <v>7365.45</v>
      </c>
      <c r="O375" s="30">
        <f t="shared" si="6"/>
        <v>2634.55</v>
      </c>
      <c r="P375" s="44" t="s">
        <v>2874</v>
      </c>
    </row>
    <row r="376" spans="2:16" ht="29" x14ac:dyDescent="0.35">
      <c r="B376" s="35" t="s">
        <v>3348</v>
      </c>
      <c r="C376" s="80" t="s">
        <v>3510</v>
      </c>
      <c r="D376" s="36">
        <v>44781</v>
      </c>
      <c r="E376" s="36">
        <v>44935</v>
      </c>
      <c r="F376" s="36">
        <v>45481</v>
      </c>
      <c r="G376" s="64" t="s">
        <v>6</v>
      </c>
      <c r="H376" s="43" t="s">
        <v>3511</v>
      </c>
      <c r="I376" s="35" t="s">
        <v>2494</v>
      </c>
      <c r="J376" s="43"/>
      <c r="K376" s="43" t="s">
        <v>3555</v>
      </c>
      <c r="L376" s="30">
        <v>10000</v>
      </c>
      <c r="M376" s="30">
        <v>0</v>
      </c>
      <c r="N376" s="30">
        <v>5000</v>
      </c>
      <c r="O376" s="30">
        <f t="shared" si="6"/>
        <v>5000</v>
      </c>
      <c r="P376" s="44" t="s">
        <v>2874</v>
      </c>
    </row>
    <row r="377" spans="2:16" ht="29" x14ac:dyDescent="0.35">
      <c r="B377" s="35" t="s">
        <v>3348</v>
      </c>
      <c r="C377" s="80" t="s">
        <v>3512</v>
      </c>
      <c r="D377" s="36">
        <v>44781</v>
      </c>
      <c r="E377" s="36">
        <v>44935</v>
      </c>
      <c r="F377" s="36">
        <v>45481</v>
      </c>
      <c r="G377" s="64" t="s">
        <v>6</v>
      </c>
      <c r="H377" s="43" t="s">
        <v>3513</v>
      </c>
      <c r="I377" s="35" t="s">
        <v>2493</v>
      </c>
      <c r="J377" s="43"/>
      <c r="K377" s="43" t="s">
        <v>3555</v>
      </c>
      <c r="L377" s="30">
        <v>10000</v>
      </c>
      <c r="M377" s="30">
        <v>0</v>
      </c>
      <c r="N377" s="30">
        <v>5000</v>
      </c>
      <c r="O377" s="30">
        <f t="shared" si="6"/>
        <v>5000</v>
      </c>
      <c r="P377" s="44" t="s">
        <v>2874</v>
      </c>
    </row>
    <row r="378" spans="2:16" ht="29" x14ac:dyDescent="0.35">
      <c r="B378" s="35" t="s">
        <v>3348</v>
      </c>
      <c r="C378" s="80" t="s">
        <v>3514</v>
      </c>
      <c r="D378" s="36">
        <v>44781</v>
      </c>
      <c r="E378" s="36">
        <v>44935</v>
      </c>
      <c r="F378" s="36">
        <v>45481</v>
      </c>
      <c r="G378" s="64" t="s">
        <v>6</v>
      </c>
      <c r="H378" s="43" t="s">
        <v>3352</v>
      </c>
      <c r="I378" s="35" t="s">
        <v>2816</v>
      </c>
      <c r="J378" s="43" t="s">
        <v>3354</v>
      </c>
      <c r="K378" s="43" t="s">
        <v>3555</v>
      </c>
      <c r="L378" s="30">
        <v>10000</v>
      </c>
      <c r="M378" s="30">
        <v>0</v>
      </c>
      <c r="N378" s="30">
        <v>5000</v>
      </c>
      <c r="O378" s="30">
        <f t="shared" si="6"/>
        <v>5000</v>
      </c>
      <c r="P378" s="44" t="s">
        <v>2874</v>
      </c>
    </row>
    <row r="379" spans="2:16" ht="29" x14ac:dyDescent="0.35">
      <c r="B379" s="35" t="s">
        <v>3348</v>
      </c>
      <c r="C379" s="80" t="s">
        <v>3515</v>
      </c>
      <c r="D379" s="36">
        <v>44781</v>
      </c>
      <c r="E379" s="36">
        <v>44935</v>
      </c>
      <c r="F379" s="36">
        <v>45481</v>
      </c>
      <c r="G379" s="64" t="s">
        <v>5683</v>
      </c>
      <c r="H379" s="43" t="s">
        <v>3516</v>
      </c>
      <c r="I379" s="35" t="s">
        <v>2540</v>
      </c>
      <c r="J379" s="43" t="s">
        <v>3546</v>
      </c>
      <c r="K379" s="43" t="s">
        <v>3555</v>
      </c>
      <c r="L379" s="30">
        <v>5000</v>
      </c>
      <c r="M379" s="30">
        <v>2500</v>
      </c>
      <c r="N379" s="30">
        <v>2500</v>
      </c>
      <c r="O379" s="30">
        <f t="shared" si="6"/>
        <v>0</v>
      </c>
      <c r="P379" s="44" t="s">
        <v>2874</v>
      </c>
    </row>
    <row r="380" spans="2:16" ht="29" x14ac:dyDescent="0.35">
      <c r="B380" s="35" t="s">
        <v>3348</v>
      </c>
      <c r="C380" s="80" t="s">
        <v>3517</v>
      </c>
      <c r="D380" s="36">
        <v>44781</v>
      </c>
      <c r="E380" s="36">
        <v>44935</v>
      </c>
      <c r="F380" s="36">
        <v>45481</v>
      </c>
      <c r="G380" s="64" t="s">
        <v>6</v>
      </c>
      <c r="H380" s="43" t="s">
        <v>3518</v>
      </c>
      <c r="I380" s="35" t="s">
        <v>2494</v>
      </c>
      <c r="J380" s="43"/>
      <c r="K380" s="43" t="s">
        <v>3555</v>
      </c>
      <c r="L380" s="30">
        <v>8700</v>
      </c>
      <c r="M380" s="30">
        <v>0</v>
      </c>
      <c r="N380" s="30">
        <f>4350*2</f>
        <v>8700</v>
      </c>
      <c r="O380" s="30">
        <f t="shared" si="6"/>
        <v>0</v>
      </c>
      <c r="P380" s="44" t="s">
        <v>2874</v>
      </c>
    </row>
    <row r="381" spans="2:16" ht="29" x14ac:dyDescent="0.35">
      <c r="B381" s="35" t="s">
        <v>3348</v>
      </c>
      <c r="C381" s="80" t="s">
        <v>3519</v>
      </c>
      <c r="D381" s="36">
        <v>44781</v>
      </c>
      <c r="E381" s="36">
        <v>44935</v>
      </c>
      <c r="F381" s="36">
        <v>45481</v>
      </c>
      <c r="G381" s="64" t="s">
        <v>6</v>
      </c>
      <c r="H381" s="43" t="s">
        <v>3520</v>
      </c>
      <c r="I381" s="35" t="s">
        <v>2507</v>
      </c>
      <c r="J381" s="43" t="s">
        <v>3547</v>
      </c>
      <c r="K381" s="43" t="s">
        <v>3555</v>
      </c>
      <c r="L381" s="30">
        <v>10000</v>
      </c>
      <c r="M381" s="30">
        <v>0</v>
      </c>
      <c r="N381" s="30">
        <f>5000+4999.91</f>
        <v>9999.91</v>
      </c>
      <c r="O381" s="30">
        <f t="shared" si="6"/>
        <v>9.0000000000145519E-2</v>
      </c>
      <c r="P381" s="44" t="s">
        <v>2874</v>
      </c>
    </row>
    <row r="382" spans="2:16" ht="29" x14ac:dyDescent="0.35">
      <c r="B382" s="35" t="s">
        <v>3348</v>
      </c>
      <c r="C382" s="80" t="s">
        <v>3521</v>
      </c>
      <c r="D382" s="36">
        <v>44781</v>
      </c>
      <c r="E382" s="36">
        <v>44935</v>
      </c>
      <c r="F382" s="36">
        <v>45481</v>
      </c>
      <c r="G382" s="64" t="s">
        <v>6</v>
      </c>
      <c r="H382" s="43" t="s">
        <v>3522</v>
      </c>
      <c r="I382" s="35" t="s">
        <v>2480</v>
      </c>
      <c r="J382" s="43" t="s">
        <v>5806</v>
      </c>
      <c r="K382" s="43" t="s">
        <v>3555</v>
      </c>
      <c r="L382" s="30">
        <v>10000</v>
      </c>
      <c r="M382" s="30">
        <v>0</v>
      </c>
      <c r="N382" s="30">
        <f>5000+1850</f>
        <v>6850</v>
      </c>
      <c r="O382" s="30">
        <f t="shared" si="6"/>
        <v>3150</v>
      </c>
      <c r="P382" s="44" t="s">
        <v>2874</v>
      </c>
    </row>
    <row r="383" spans="2:16" ht="29" x14ac:dyDescent="0.35">
      <c r="B383" s="35" t="s">
        <v>3348</v>
      </c>
      <c r="C383" s="80" t="s">
        <v>3523</v>
      </c>
      <c r="D383" s="36">
        <v>44781</v>
      </c>
      <c r="E383" s="36">
        <v>44935</v>
      </c>
      <c r="F383" s="36">
        <v>45481</v>
      </c>
      <c r="G383" s="64" t="s">
        <v>6</v>
      </c>
      <c r="H383" s="43" t="s">
        <v>3524</v>
      </c>
      <c r="I383" s="35" t="s">
        <v>3177</v>
      </c>
      <c r="J383" s="43" t="s">
        <v>3548</v>
      </c>
      <c r="K383" s="43" t="s">
        <v>3555</v>
      </c>
      <c r="L383" s="30">
        <v>10000</v>
      </c>
      <c r="M383" s="30">
        <v>0</v>
      </c>
      <c r="N383" s="30">
        <v>5000</v>
      </c>
      <c r="O383" s="30">
        <f t="shared" si="6"/>
        <v>5000</v>
      </c>
      <c r="P383" s="44" t="s">
        <v>2874</v>
      </c>
    </row>
    <row r="384" spans="2:16" ht="29" x14ac:dyDescent="0.35">
      <c r="B384" s="35" t="s">
        <v>3348</v>
      </c>
      <c r="C384" s="80" t="s">
        <v>3900</v>
      </c>
      <c r="D384" s="36">
        <v>44781</v>
      </c>
      <c r="E384" s="36">
        <v>44935</v>
      </c>
      <c r="F384" s="36">
        <v>45481</v>
      </c>
      <c r="G384" s="64" t="s">
        <v>6</v>
      </c>
      <c r="H384" s="43" t="s">
        <v>3901</v>
      </c>
      <c r="I384" s="35" t="s">
        <v>2816</v>
      </c>
      <c r="J384" s="43"/>
      <c r="K384" s="43" t="s">
        <v>3555</v>
      </c>
      <c r="L384" s="30">
        <v>9981</v>
      </c>
      <c r="M384" s="30">
        <v>0</v>
      </c>
      <c r="N384" s="30">
        <v>4999.5</v>
      </c>
      <c r="O384" s="30">
        <f t="shared" si="6"/>
        <v>4981.5</v>
      </c>
      <c r="P384" s="44" t="s">
        <v>2874</v>
      </c>
    </row>
    <row r="385" spans="2:16" x14ac:dyDescent="0.35">
      <c r="B385" s="39" t="s">
        <v>3203</v>
      </c>
      <c r="C385" s="80" t="s">
        <v>3575</v>
      </c>
      <c r="D385" s="40">
        <v>44781</v>
      </c>
      <c r="E385" s="36">
        <v>44941</v>
      </c>
      <c r="F385" s="36">
        <v>46788</v>
      </c>
      <c r="G385" s="64" t="s">
        <v>6</v>
      </c>
      <c r="H385" s="38" t="s">
        <v>3208</v>
      </c>
      <c r="I385" s="35" t="s">
        <v>2484</v>
      </c>
      <c r="J385" s="38" t="s">
        <v>4577</v>
      </c>
      <c r="K385" s="38" t="s">
        <v>2586</v>
      </c>
      <c r="L385" s="49">
        <v>88900</v>
      </c>
      <c r="M385" s="49">
        <v>0</v>
      </c>
      <c r="N385" s="49">
        <v>0</v>
      </c>
      <c r="O385" s="30">
        <f t="shared" si="6"/>
        <v>88900</v>
      </c>
      <c r="P385" s="44">
        <v>1.53</v>
      </c>
    </row>
    <row r="386" spans="2:16" x14ac:dyDescent="0.35">
      <c r="B386" s="35" t="s">
        <v>3525</v>
      </c>
      <c r="C386" s="80" t="s">
        <v>3526</v>
      </c>
      <c r="D386" s="36">
        <v>44781</v>
      </c>
      <c r="E386" s="36">
        <v>44945</v>
      </c>
      <c r="F386" s="36">
        <v>45491</v>
      </c>
      <c r="G386" s="64" t="s">
        <v>6</v>
      </c>
      <c r="H386" s="43" t="s">
        <v>3155</v>
      </c>
      <c r="I386" s="35" t="s">
        <v>3177</v>
      </c>
      <c r="J386" s="38" t="s">
        <v>4576</v>
      </c>
      <c r="K386" s="38" t="s">
        <v>3417</v>
      </c>
      <c r="L386" s="30">
        <v>50000</v>
      </c>
      <c r="M386" s="30">
        <v>0</v>
      </c>
      <c r="N386" s="30">
        <f>50000</f>
        <v>50000</v>
      </c>
      <c r="O386" s="30">
        <f t="shared" si="6"/>
        <v>0</v>
      </c>
      <c r="P386" s="44" t="s">
        <v>2874</v>
      </c>
    </row>
    <row r="387" spans="2:16" ht="29" x14ac:dyDescent="0.35">
      <c r="B387" s="35" t="s">
        <v>3348</v>
      </c>
      <c r="C387" s="80" t="s">
        <v>3527</v>
      </c>
      <c r="D387" s="36">
        <v>44781</v>
      </c>
      <c r="E387" s="36">
        <v>44945</v>
      </c>
      <c r="F387" s="36">
        <v>45491</v>
      </c>
      <c r="G387" s="64" t="s">
        <v>5683</v>
      </c>
      <c r="H387" s="43" t="s">
        <v>3528</v>
      </c>
      <c r="I387" s="35" t="s">
        <v>2501</v>
      </c>
      <c r="J387" s="43"/>
      <c r="K387" s="43" t="s">
        <v>3555</v>
      </c>
      <c r="L387" s="30">
        <v>10000</v>
      </c>
      <c r="M387" s="30">
        <v>5000</v>
      </c>
      <c r="N387" s="30">
        <v>5000</v>
      </c>
      <c r="O387" s="30">
        <f t="shared" si="6"/>
        <v>0</v>
      </c>
      <c r="P387" s="44" t="s">
        <v>2874</v>
      </c>
    </row>
    <row r="388" spans="2:16" ht="29" x14ac:dyDescent="0.35">
      <c r="B388" s="35" t="s">
        <v>3348</v>
      </c>
      <c r="C388" s="80" t="s">
        <v>3529</v>
      </c>
      <c r="D388" s="36">
        <v>44781</v>
      </c>
      <c r="E388" s="36">
        <v>44945</v>
      </c>
      <c r="F388" s="36">
        <v>45491</v>
      </c>
      <c r="G388" s="64" t="s">
        <v>6</v>
      </c>
      <c r="H388" s="43" t="s">
        <v>3530</v>
      </c>
      <c r="I388" s="35" t="s">
        <v>2816</v>
      </c>
      <c r="J388" s="43" t="s">
        <v>3549</v>
      </c>
      <c r="K388" s="43" t="s">
        <v>3555</v>
      </c>
      <c r="L388" s="30">
        <v>10000</v>
      </c>
      <c r="M388" s="30">
        <v>0</v>
      </c>
      <c r="N388" s="30">
        <v>5000</v>
      </c>
      <c r="O388" s="30">
        <f t="shared" si="6"/>
        <v>5000</v>
      </c>
      <c r="P388" s="44" t="s">
        <v>2874</v>
      </c>
    </row>
    <row r="389" spans="2:16" ht="29" x14ac:dyDescent="0.35">
      <c r="B389" s="35" t="s">
        <v>3348</v>
      </c>
      <c r="C389" s="80" t="s">
        <v>3531</v>
      </c>
      <c r="D389" s="36">
        <v>44781</v>
      </c>
      <c r="E389" s="36">
        <v>44945</v>
      </c>
      <c r="F389" s="36">
        <v>45491</v>
      </c>
      <c r="G389" s="64" t="s">
        <v>6</v>
      </c>
      <c r="H389" s="43" t="s">
        <v>3532</v>
      </c>
      <c r="I389" s="35" t="s">
        <v>2478</v>
      </c>
      <c r="J389" s="43" t="s">
        <v>5807</v>
      </c>
      <c r="K389" s="43" t="s">
        <v>3555</v>
      </c>
      <c r="L389" s="30">
        <v>10000</v>
      </c>
      <c r="M389" s="30">
        <v>0</v>
      </c>
      <c r="N389" s="30">
        <f>5000+4183.83</f>
        <v>9183.83</v>
      </c>
      <c r="O389" s="30">
        <f t="shared" ref="O389:O451" si="7">L389-M389-N389</f>
        <v>816.17000000000007</v>
      </c>
      <c r="P389" s="44" t="s">
        <v>2874</v>
      </c>
    </row>
    <row r="390" spans="2:16" ht="29" x14ac:dyDescent="0.35">
      <c r="B390" s="35" t="s">
        <v>3348</v>
      </c>
      <c r="C390" s="80" t="s">
        <v>3533</v>
      </c>
      <c r="D390" s="36">
        <v>44781</v>
      </c>
      <c r="E390" s="36">
        <v>44945</v>
      </c>
      <c r="F390" s="36">
        <v>45491</v>
      </c>
      <c r="G390" s="64" t="s">
        <v>6</v>
      </c>
      <c r="H390" s="43" t="s">
        <v>3393</v>
      </c>
      <c r="I390" s="35" t="s">
        <v>3086</v>
      </c>
      <c r="J390" s="43"/>
      <c r="K390" s="43" t="s">
        <v>3555</v>
      </c>
      <c r="L390" s="30">
        <v>10000</v>
      </c>
      <c r="M390" s="30">
        <v>0</v>
      </c>
      <c r="N390" s="30">
        <v>5000</v>
      </c>
      <c r="O390" s="30">
        <f t="shared" si="7"/>
        <v>5000</v>
      </c>
      <c r="P390" s="44" t="s">
        <v>2874</v>
      </c>
    </row>
    <row r="391" spans="2:16" x14ac:dyDescent="0.35">
      <c r="B391" s="39" t="s">
        <v>3217</v>
      </c>
      <c r="C391" s="80" t="s">
        <v>3534</v>
      </c>
      <c r="D391" s="40">
        <v>44781</v>
      </c>
      <c r="E391" s="36">
        <v>44951</v>
      </c>
      <c r="F391" s="36">
        <v>46046</v>
      </c>
      <c r="G391" s="64" t="s">
        <v>6</v>
      </c>
      <c r="H391" s="38" t="s">
        <v>3219</v>
      </c>
      <c r="I391" s="35" t="s">
        <v>2531</v>
      </c>
      <c r="J391" s="38" t="s">
        <v>4580</v>
      </c>
      <c r="K391" s="38" t="s">
        <v>2583</v>
      </c>
      <c r="L391" s="49">
        <v>9750</v>
      </c>
      <c r="M391" s="49">
        <v>0</v>
      </c>
      <c r="N391" s="49">
        <v>0</v>
      </c>
      <c r="O391" s="30">
        <f t="shared" si="7"/>
        <v>9750</v>
      </c>
      <c r="P391" s="44">
        <v>10.78</v>
      </c>
    </row>
    <row r="392" spans="2:16" x14ac:dyDescent="0.35">
      <c r="B392" s="39" t="s">
        <v>3480</v>
      </c>
      <c r="C392" s="80" t="s">
        <v>3543</v>
      </c>
      <c r="D392" s="40">
        <v>44946</v>
      </c>
      <c r="E392" s="36">
        <v>44951</v>
      </c>
      <c r="F392" s="36">
        <v>45291</v>
      </c>
      <c r="G392" s="64" t="s">
        <v>6</v>
      </c>
      <c r="H392" s="38" t="s">
        <v>3451</v>
      </c>
      <c r="I392" s="35" t="s">
        <v>2480</v>
      </c>
      <c r="J392" s="38" t="s">
        <v>3453</v>
      </c>
      <c r="K392" s="38" t="s">
        <v>2584</v>
      </c>
      <c r="L392" s="45">
        <v>546000</v>
      </c>
      <c r="M392" s="30">
        <v>0</v>
      </c>
      <c r="N392" s="30">
        <v>478440.15</v>
      </c>
      <c r="O392" s="30">
        <f t="shared" si="7"/>
        <v>67559.849999999977</v>
      </c>
      <c r="P392" s="44" t="s">
        <v>2874</v>
      </c>
    </row>
    <row r="393" spans="2:16" ht="29" x14ac:dyDescent="0.35">
      <c r="B393" s="39" t="s">
        <v>2681</v>
      </c>
      <c r="C393" s="101" t="s">
        <v>3492</v>
      </c>
      <c r="D393" s="40">
        <v>44194</v>
      </c>
      <c r="E393" s="40">
        <v>44953</v>
      </c>
      <c r="F393" s="40">
        <v>46474</v>
      </c>
      <c r="G393" s="63" t="s">
        <v>6</v>
      </c>
      <c r="H393" s="38" t="s">
        <v>2658</v>
      </c>
      <c r="I393" s="39" t="s">
        <v>2483</v>
      </c>
      <c r="J393" s="38" t="s">
        <v>5238</v>
      </c>
      <c r="K393" s="38" t="s">
        <v>2586</v>
      </c>
      <c r="L393" s="31">
        <v>13000000</v>
      </c>
      <c r="M393" s="31">
        <v>0</v>
      </c>
      <c r="N393" s="31">
        <v>2738479.4000000004</v>
      </c>
      <c r="O393" s="30">
        <f t="shared" si="7"/>
        <v>10261520.6</v>
      </c>
      <c r="P393" s="26">
        <v>5.6</v>
      </c>
    </row>
    <row r="394" spans="2:16" ht="29" x14ac:dyDescent="0.35">
      <c r="B394" s="35" t="s">
        <v>3379</v>
      </c>
      <c r="C394" s="80" t="s">
        <v>3535</v>
      </c>
      <c r="D394" s="36">
        <v>44781</v>
      </c>
      <c r="E394" s="36">
        <v>44957</v>
      </c>
      <c r="F394" s="36">
        <v>46052</v>
      </c>
      <c r="G394" s="64" t="s">
        <v>6</v>
      </c>
      <c r="H394" s="43" t="s">
        <v>3536</v>
      </c>
      <c r="I394" s="35" t="s">
        <v>2480</v>
      </c>
      <c r="J394" s="43" t="s">
        <v>3553</v>
      </c>
      <c r="K394" s="43" t="s">
        <v>3384</v>
      </c>
      <c r="L394" s="30">
        <v>160000</v>
      </c>
      <c r="M394" s="30">
        <v>0</v>
      </c>
      <c r="N394" s="30">
        <v>80000</v>
      </c>
      <c r="O394" s="30">
        <f t="shared" si="7"/>
        <v>80000</v>
      </c>
      <c r="P394" s="44" t="s">
        <v>2874</v>
      </c>
    </row>
    <row r="395" spans="2:16" ht="58" x14ac:dyDescent="0.35">
      <c r="B395" s="39" t="s">
        <v>3564</v>
      </c>
      <c r="C395" s="80" t="s">
        <v>3684</v>
      </c>
      <c r="D395" s="40">
        <v>44972</v>
      </c>
      <c r="E395" s="36">
        <v>44958</v>
      </c>
      <c r="F395" s="36">
        <v>46123</v>
      </c>
      <c r="G395" s="64" t="s">
        <v>5683</v>
      </c>
      <c r="H395" s="38" t="s">
        <v>3566</v>
      </c>
      <c r="I395" s="35" t="s">
        <v>2816</v>
      </c>
      <c r="J395" s="38" t="s">
        <v>4615</v>
      </c>
      <c r="K395" s="38" t="s">
        <v>2583</v>
      </c>
      <c r="L395" s="45">
        <v>30000</v>
      </c>
      <c r="M395" s="30">
        <v>30000</v>
      </c>
      <c r="N395" s="30">
        <v>0</v>
      </c>
      <c r="O395" s="30">
        <f t="shared" si="7"/>
        <v>0</v>
      </c>
      <c r="P395" s="44">
        <v>4.2300000000000004</v>
      </c>
    </row>
    <row r="396" spans="2:16" x14ac:dyDescent="0.35">
      <c r="B396" s="35" t="s">
        <v>1951</v>
      </c>
      <c r="C396" s="80" t="s">
        <v>3569</v>
      </c>
      <c r="D396" s="36">
        <v>43404</v>
      </c>
      <c r="E396" s="36">
        <v>44958</v>
      </c>
      <c r="F396" s="36">
        <v>46783</v>
      </c>
      <c r="G396" s="64" t="s">
        <v>6</v>
      </c>
      <c r="H396" s="43" t="s">
        <v>3570</v>
      </c>
      <c r="I396" s="35" t="s">
        <v>2782</v>
      </c>
      <c r="J396" s="38" t="s">
        <v>3587</v>
      </c>
      <c r="K396" s="38" t="s">
        <v>3092</v>
      </c>
      <c r="L396" s="30">
        <v>42510</v>
      </c>
      <c r="M396" s="30">
        <v>0</v>
      </c>
      <c r="N396" s="30">
        <v>0</v>
      </c>
      <c r="O396" s="30">
        <f t="shared" si="7"/>
        <v>42510</v>
      </c>
      <c r="P396" s="44" t="s">
        <v>2874</v>
      </c>
    </row>
    <row r="397" spans="2:16" ht="29" x14ac:dyDescent="0.35">
      <c r="B397" s="39" t="s">
        <v>2996</v>
      </c>
      <c r="C397" s="80" t="s">
        <v>3573</v>
      </c>
      <c r="D397" s="40">
        <v>44585</v>
      </c>
      <c r="E397" s="46">
        <v>44959</v>
      </c>
      <c r="F397" s="46">
        <v>45689</v>
      </c>
      <c r="G397" s="64" t="s">
        <v>5683</v>
      </c>
      <c r="H397" s="38" t="s">
        <v>3008</v>
      </c>
      <c r="I397" s="35" t="s">
        <v>2507</v>
      </c>
      <c r="J397" s="38" t="s">
        <v>4549</v>
      </c>
      <c r="K397" s="38" t="s">
        <v>2586</v>
      </c>
      <c r="L397" s="45">
        <v>90000</v>
      </c>
      <c r="M397" s="30">
        <v>90000</v>
      </c>
      <c r="N397" s="30">
        <v>0</v>
      </c>
      <c r="O397" s="30">
        <f t="shared" si="7"/>
        <v>0</v>
      </c>
      <c r="P397" s="44" t="s">
        <v>6805</v>
      </c>
    </row>
    <row r="398" spans="2:16" ht="29" x14ac:dyDescent="0.35">
      <c r="B398" s="39" t="s">
        <v>2997</v>
      </c>
      <c r="C398" s="80" t="s">
        <v>3572</v>
      </c>
      <c r="D398" s="40">
        <v>44585</v>
      </c>
      <c r="E398" s="46">
        <v>44959</v>
      </c>
      <c r="F398" s="46">
        <v>46054</v>
      </c>
      <c r="G398" s="64" t="s">
        <v>6</v>
      </c>
      <c r="H398" s="38" t="s">
        <v>3008</v>
      </c>
      <c r="I398" s="35" t="s">
        <v>2507</v>
      </c>
      <c r="J398" s="38" t="s">
        <v>4549</v>
      </c>
      <c r="K398" s="38" t="s">
        <v>2584</v>
      </c>
      <c r="L398" s="45">
        <v>60000</v>
      </c>
      <c r="M398" s="30">
        <v>0</v>
      </c>
      <c r="N398" s="30">
        <v>0</v>
      </c>
      <c r="O398" s="30">
        <f t="shared" si="7"/>
        <v>60000</v>
      </c>
      <c r="P398" s="44">
        <v>1.63</v>
      </c>
    </row>
    <row r="399" spans="2:16" ht="29" x14ac:dyDescent="0.35">
      <c r="B399" s="35" t="s">
        <v>3350</v>
      </c>
      <c r="C399" s="80" t="s">
        <v>3537</v>
      </c>
      <c r="D399" s="36">
        <v>44781</v>
      </c>
      <c r="E399" s="36">
        <v>44959</v>
      </c>
      <c r="F399" s="36">
        <v>46054</v>
      </c>
      <c r="G399" s="64" t="s">
        <v>5683</v>
      </c>
      <c r="H399" s="43" t="s">
        <v>3538</v>
      </c>
      <c r="I399" s="35" t="s">
        <v>2479</v>
      </c>
      <c r="J399" s="38" t="s">
        <v>3550</v>
      </c>
      <c r="K399" s="38" t="s">
        <v>2573</v>
      </c>
      <c r="L399" s="30">
        <v>1016.5</v>
      </c>
      <c r="M399" s="30">
        <v>16.5</v>
      </c>
      <c r="N399" s="30">
        <v>1000</v>
      </c>
      <c r="O399" s="30">
        <f t="shared" si="7"/>
        <v>0</v>
      </c>
      <c r="P399" s="44" t="s">
        <v>6515</v>
      </c>
    </row>
    <row r="400" spans="2:16" ht="29" x14ac:dyDescent="0.35">
      <c r="B400" s="35" t="s">
        <v>3348</v>
      </c>
      <c r="C400" s="80" t="s">
        <v>3539</v>
      </c>
      <c r="D400" s="36">
        <v>44781</v>
      </c>
      <c r="E400" s="36">
        <v>44960</v>
      </c>
      <c r="F400" s="36">
        <v>45506</v>
      </c>
      <c r="G400" s="64" t="s">
        <v>6</v>
      </c>
      <c r="H400" s="43" t="s">
        <v>3540</v>
      </c>
      <c r="I400" s="35" t="s">
        <v>2525</v>
      </c>
      <c r="J400" s="43" t="s">
        <v>3551</v>
      </c>
      <c r="K400" s="43" t="s">
        <v>3555</v>
      </c>
      <c r="L400" s="30">
        <v>6671</v>
      </c>
      <c r="M400" s="30">
        <v>0</v>
      </c>
      <c r="N400" s="30">
        <v>3335.5</v>
      </c>
      <c r="O400" s="30">
        <f t="shared" si="7"/>
        <v>3335.5</v>
      </c>
      <c r="P400" s="44" t="s">
        <v>2874</v>
      </c>
    </row>
    <row r="401" spans="2:16" ht="29" x14ac:dyDescent="0.35">
      <c r="B401" s="35" t="s">
        <v>3348</v>
      </c>
      <c r="C401" s="80" t="s">
        <v>3902</v>
      </c>
      <c r="D401" s="36">
        <v>44781</v>
      </c>
      <c r="E401" s="36">
        <v>44960</v>
      </c>
      <c r="F401" s="36">
        <v>45506</v>
      </c>
      <c r="G401" s="64" t="s">
        <v>6</v>
      </c>
      <c r="H401" s="43" t="s">
        <v>3903</v>
      </c>
      <c r="I401" s="35" t="s">
        <v>4058</v>
      </c>
      <c r="J401" s="43" t="s">
        <v>4059</v>
      </c>
      <c r="K401" s="43" t="s">
        <v>3555</v>
      </c>
      <c r="L401" s="30">
        <v>10000</v>
      </c>
      <c r="M401" s="30">
        <v>0</v>
      </c>
      <c r="N401" s="30">
        <v>5000</v>
      </c>
      <c r="O401" s="30">
        <f t="shared" si="7"/>
        <v>5000</v>
      </c>
      <c r="P401" s="44" t="s">
        <v>2874</v>
      </c>
    </row>
    <row r="402" spans="2:16" x14ac:dyDescent="0.35">
      <c r="B402" s="39" t="s">
        <v>3202</v>
      </c>
      <c r="C402" s="80" t="s">
        <v>3574</v>
      </c>
      <c r="D402" s="40">
        <v>44781</v>
      </c>
      <c r="E402" s="36">
        <v>44963</v>
      </c>
      <c r="F402" s="36">
        <v>46788</v>
      </c>
      <c r="G402" s="64" t="s">
        <v>6</v>
      </c>
      <c r="H402" s="38" t="s">
        <v>3208</v>
      </c>
      <c r="I402" s="35" t="s">
        <v>2484</v>
      </c>
      <c r="J402" s="38" t="s">
        <v>4577</v>
      </c>
      <c r="K402" s="38" t="s">
        <v>2583</v>
      </c>
      <c r="L402" s="49">
        <v>5000</v>
      </c>
      <c r="M402" s="49">
        <v>0</v>
      </c>
      <c r="N402" s="49">
        <f>833.35</f>
        <v>833.35</v>
      </c>
      <c r="O402" s="30">
        <f t="shared" si="7"/>
        <v>4166.6499999999996</v>
      </c>
      <c r="P402" s="44">
        <v>1.53</v>
      </c>
    </row>
    <row r="403" spans="2:16" x14ac:dyDescent="0.35">
      <c r="B403" s="39" t="s">
        <v>3053</v>
      </c>
      <c r="C403" s="80" t="s">
        <v>3568</v>
      </c>
      <c r="D403" s="40">
        <v>44620</v>
      </c>
      <c r="E403" s="36">
        <v>44964</v>
      </c>
      <c r="F403" s="36">
        <v>46968</v>
      </c>
      <c r="G403" s="64" t="s">
        <v>6</v>
      </c>
      <c r="H403" s="38" t="s">
        <v>3062</v>
      </c>
      <c r="I403" s="35" t="s">
        <v>2496</v>
      </c>
      <c r="J403" s="38" t="s">
        <v>4558</v>
      </c>
      <c r="K403" s="38" t="s">
        <v>2583</v>
      </c>
      <c r="L403" s="45">
        <v>10000</v>
      </c>
      <c r="M403" s="49">
        <v>0</v>
      </c>
      <c r="N403" s="49">
        <v>0</v>
      </c>
      <c r="O403" s="30">
        <f t="shared" si="7"/>
        <v>10000</v>
      </c>
      <c r="P403" s="44">
        <v>3.74</v>
      </c>
    </row>
    <row r="404" spans="2:16" ht="43.5" x14ac:dyDescent="0.35">
      <c r="B404" s="39" t="s">
        <v>3206</v>
      </c>
      <c r="C404" s="80" t="s">
        <v>3577</v>
      </c>
      <c r="D404" s="40">
        <v>44781</v>
      </c>
      <c r="E404" s="36">
        <v>44964</v>
      </c>
      <c r="F404" s="36">
        <v>46789</v>
      </c>
      <c r="G404" s="64" t="s">
        <v>6</v>
      </c>
      <c r="H404" s="38" t="s">
        <v>3210</v>
      </c>
      <c r="I404" s="39" t="s">
        <v>2528</v>
      </c>
      <c r="J404" s="38" t="s">
        <v>3214</v>
      </c>
      <c r="K404" s="38" t="s">
        <v>2586</v>
      </c>
      <c r="L404" s="49">
        <v>47000</v>
      </c>
      <c r="M404" s="49">
        <v>0</v>
      </c>
      <c r="N404" s="49">
        <v>0</v>
      </c>
      <c r="O404" s="30">
        <f t="shared" si="7"/>
        <v>47000</v>
      </c>
      <c r="P404" s="44">
        <v>1</v>
      </c>
    </row>
    <row r="405" spans="2:16" x14ac:dyDescent="0.35">
      <c r="B405" s="35" t="s">
        <v>3460</v>
      </c>
      <c r="C405" s="80" t="s">
        <v>3541</v>
      </c>
      <c r="D405" s="36">
        <v>44781</v>
      </c>
      <c r="E405" s="36">
        <v>44964</v>
      </c>
      <c r="F405" s="36">
        <v>45107</v>
      </c>
      <c r="G405" s="64" t="s">
        <v>6</v>
      </c>
      <c r="H405" s="43" t="s">
        <v>3542</v>
      </c>
      <c r="I405" s="35" t="s">
        <v>3334</v>
      </c>
      <c r="J405" s="43" t="s">
        <v>3552</v>
      </c>
      <c r="K405" s="43" t="s">
        <v>3181</v>
      </c>
      <c r="L405" s="30">
        <v>16171</v>
      </c>
      <c r="M405" s="30">
        <v>0</v>
      </c>
      <c r="N405" s="30">
        <v>12744.6</v>
      </c>
      <c r="O405" s="30">
        <f t="shared" si="7"/>
        <v>3426.3999999999996</v>
      </c>
      <c r="P405" s="44" t="s">
        <v>2874</v>
      </c>
    </row>
    <row r="406" spans="2:16" x14ac:dyDescent="0.35">
      <c r="B406" s="39" t="s">
        <v>2760</v>
      </c>
      <c r="C406" s="101" t="s">
        <v>3578</v>
      </c>
      <c r="D406" s="40">
        <v>44356</v>
      </c>
      <c r="E406" s="40">
        <v>44966</v>
      </c>
      <c r="F406" s="40">
        <v>45696</v>
      </c>
      <c r="G406" s="63" t="s">
        <v>6</v>
      </c>
      <c r="H406" s="38" t="s">
        <v>2776</v>
      </c>
      <c r="I406" s="39" t="s">
        <v>2522</v>
      </c>
      <c r="J406" s="38" t="s">
        <v>2549</v>
      </c>
      <c r="K406" s="38" t="s">
        <v>2583</v>
      </c>
      <c r="L406" s="31">
        <v>105000</v>
      </c>
      <c r="M406" s="31">
        <v>0</v>
      </c>
      <c r="N406" s="31">
        <f>57041.72+8291.7</f>
        <v>65333.42</v>
      </c>
      <c r="O406" s="30">
        <f t="shared" si="7"/>
        <v>39666.58</v>
      </c>
      <c r="P406" s="26">
        <v>7.0000000000000007E-2</v>
      </c>
    </row>
    <row r="407" spans="2:16" x14ac:dyDescent="0.35">
      <c r="B407" s="39" t="s">
        <v>2761</v>
      </c>
      <c r="C407" s="101" t="s">
        <v>3579</v>
      </c>
      <c r="D407" s="40">
        <v>44356</v>
      </c>
      <c r="E407" s="40">
        <v>44966</v>
      </c>
      <c r="F407" s="40">
        <v>45696</v>
      </c>
      <c r="G407" s="63" t="s">
        <v>6</v>
      </c>
      <c r="H407" s="38" t="s">
        <v>2776</v>
      </c>
      <c r="I407" s="39" t="s">
        <v>2522</v>
      </c>
      <c r="J407" s="38" t="s">
        <v>2549</v>
      </c>
      <c r="K407" s="38" t="s">
        <v>2586</v>
      </c>
      <c r="L407" s="31">
        <v>150000</v>
      </c>
      <c r="M407" s="31">
        <v>0</v>
      </c>
      <c r="N407" s="31">
        <v>0</v>
      </c>
      <c r="O407" s="30">
        <f t="shared" si="7"/>
        <v>150000</v>
      </c>
      <c r="P407" s="26">
        <v>7.0000000000000007E-2</v>
      </c>
    </row>
    <row r="408" spans="2:16" x14ac:dyDescent="0.35">
      <c r="B408" s="39" t="s">
        <v>2762</v>
      </c>
      <c r="C408" s="101" t="s">
        <v>3580</v>
      </c>
      <c r="D408" s="40">
        <v>44356</v>
      </c>
      <c r="E408" s="40">
        <v>44966</v>
      </c>
      <c r="F408" s="40">
        <v>45696</v>
      </c>
      <c r="G408" s="63" t="s">
        <v>6</v>
      </c>
      <c r="H408" s="38" t="s">
        <v>2776</v>
      </c>
      <c r="I408" s="39" t="s">
        <v>2522</v>
      </c>
      <c r="J408" s="38" t="s">
        <v>2549</v>
      </c>
      <c r="K408" s="38" t="s">
        <v>2585</v>
      </c>
      <c r="L408" s="31">
        <v>100000</v>
      </c>
      <c r="M408" s="31">
        <v>0</v>
      </c>
      <c r="N408" s="31">
        <v>0</v>
      </c>
      <c r="O408" s="30">
        <f t="shared" si="7"/>
        <v>100000</v>
      </c>
      <c r="P408" s="26">
        <v>7.0000000000000007E-2</v>
      </c>
    </row>
    <row r="409" spans="2:16" ht="58" x14ac:dyDescent="0.35">
      <c r="B409" s="39" t="s">
        <v>3356</v>
      </c>
      <c r="C409" s="80" t="s">
        <v>3582</v>
      </c>
      <c r="D409" s="40">
        <v>44869</v>
      </c>
      <c r="E409" s="36">
        <v>44972</v>
      </c>
      <c r="F409" s="36">
        <v>46067</v>
      </c>
      <c r="G409" s="64" t="s">
        <v>6</v>
      </c>
      <c r="H409" s="38" t="s">
        <v>3362</v>
      </c>
      <c r="I409" s="35" t="s">
        <v>2487</v>
      </c>
      <c r="J409" s="38" t="s">
        <v>4590</v>
      </c>
      <c r="K409" s="38" t="s">
        <v>2583</v>
      </c>
      <c r="L409" s="45">
        <v>10000</v>
      </c>
      <c r="M409" s="30">
        <v>0</v>
      </c>
      <c r="N409" s="30">
        <v>0</v>
      </c>
      <c r="O409" s="30">
        <f t="shared" si="7"/>
        <v>10000</v>
      </c>
      <c r="P409" s="44">
        <v>2.95</v>
      </c>
    </row>
    <row r="410" spans="2:16" x14ac:dyDescent="0.35">
      <c r="B410" s="39" t="s">
        <v>3434</v>
      </c>
      <c r="C410" s="80" t="s">
        <v>3583</v>
      </c>
      <c r="D410" s="40">
        <v>44910</v>
      </c>
      <c r="E410" s="36">
        <v>44974</v>
      </c>
      <c r="F410" s="36">
        <v>46799</v>
      </c>
      <c r="G410" s="64" t="s">
        <v>6</v>
      </c>
      <c r="H410" s="38" t="s">
        <v>3439</v>
      </c>
      <c r="I410" s="35" t="s">
        <v>2507</v>
      </c>
      <c r="J410" s="38" t="s">
        <v>3476</v>
      </c>
      <c r="K410" s="38" t="s">
        <v>2583</v>
      </c>
      <c r="L410" s="45">
        <v>9600</v>
      </c>
      <c r="M410" s="30">
        <v>0</v>
      </c>
      <c r="N410" s="30">
        <v>0</v>
      </c>
      <c r="O410" s="30">
        <f t="shared" si="7"/>
        <v>9600</v>
      </c>
      <c r="P410" s="44">
        <v>3.24</v>
      </c>
    </row>
    <row r="411" spans="2:16" x14ac:dyDescent="0.35">
      <c r="B411" s="39" t="s">
        <v>3435</v>
      </c>
      <c r="C411" s="80" t="s">
        <v>3584</v>
      </c>
      <c r="D411" s="40">
        <v>44910</v>
      </c>
      <c r="E411" s="36">
        <v>44974</v>
      </c>
      <c r="F411" s="36">
        <v>46799</v>
      </c>
      <c r="G411" s="64" t="s">
        <v>6</v>
      </c>
      <c r="H411" s="38" t="s">
        <v>3439</v>
      </c>
      <c r="I411" s="35" t="s">
        <v>2507</v>
      </c>
      <c r="J411" s="38" t="s">
        <v>3476</v>
      </c>
      <c r="K411" s="38" t="s">
        <v>2586</v>
      </c>
      <c r="L411" s="45">
        <v>34000</v>
      </c>
      <c r="M411" s="30">
        <v>0</v>
      </c>
      <c r="N411" s="30">
        <v>0</v>
      </c>
      <c r="O411" s="30">
        <f t="shared" si="7"/>
        <v>34000</v>
      </c>
      <c r="P411" s="44">
        <v>3.24</v>
      </c>
    </row>
    <row r="412" spans="2:16" ht="29" x14ac:dyDescent="0.35">
      <c r="B412" s="35" t="s">
        <v>3379</v>
      </c>
      <c r="C412" s="80" t="s">
        <v>3585</v>
      </c>
      <c r="D412" s="36">
        <v>44781</v>
      </c>
      <c r="E412" s="36">
        <v>44974</v>
      </c>
      <c r="F412" s="36">
        <v>46069</v>
      </c>
      <c r="G412" s="64" t="s">
        <v>6</v>
      </c>
      <c r="H412" s="43" t="s">
        <v>3588</v>
      </c>
      <c r="I412" s="35" t="s">
        <v>2480</v>
      </c>
      <c r="J412" s="43" t="s">
        <v>4616</v>
      </c>
      <c r="K412" s="43" t="s">
        <v>3384</v>
      </c>
      <c r="L412" s="30">
        <v>200000</v>
      </c>
      <c r="M412" s="30">
        <v>0</v>
      </c>
      <c r="N412" s="30">
        <v>100000</v>
      </c>
      <c r="O412" s="30">
        <f t="shared" si="7"/>
        <v>100000</v>
      </c>
      <c r="P412" s="44" t="s">
        <v>2874</v>
      </c>
    </row>
    <row r="413" spans="2:16" x14ac:dyDescent="0.35">
      <c r="B413" s="39" t="s">
        <v>3360</v>
      </c>
      <c r="C413" s="80" t="s">
        <v>3598</v>
      </c>
      <c r="D413" s="40">
        <v>44887</v>
      </c>
      <c r="E413" s="36">
        <v>44981</v>
      </c>
      <c r="F413" s="36">
        <v>46809</v>
      </c>
      <c r="G413" s="64" t="s">
        <v>6</v>
      </c>
      <c r="H413" s="38" t="s">
        <v>3365</v>
      </c>
      <c r="I413" s="35" t="s">
        <v>2490</v>
      </c>
      <c r="J413" s="38" t="s">
        <v>4574</v>
      </c>
      <c r="K413" s="38" t="s">
        <v>2586</v>
      </c>
      <c r="L413" s="45">
        <v>83000</v>
      </c>
      <c r="M413" s="30">
        <v>0</v>
      </c>
      <c r="N413" s="30">
        <v>80408.36</v>
      </c>
      <c r="O413" s="30">
        <f t="shared" si="7"/>
        <v>2591.6399999999994</v>
      </c>
      <c r="P413" s="44">
        <v>1.01</v>
      </c>
    </row>
    <row r="414" spans="2:16" x14ac:dyDescent="0.35">
      <c r="B414" s="39" t="s">
        <v>2938</v>
      </c>
      <c r="C414" s="80" t="s">
        <v>3599</v>
      </c>
      <c r="D414" s="40">
        <v>44560</v>
      </c>
      <c r="E414" s="36">
        <v>44986</v>
      </c>
      <c r="F414" s="36">
        <v>46812</v>
      </c>
      <c r="G414" s="64" t="s">
        <v>6</v>
      </c>
      <c r="H414" s="38" t="s">
        <v>2939</v>
      </c>
      <c r="I414" s="35" t="s">
        <v>2477</v>
      </c>
      <c r="J414" s="38" t="s">
        <v>4532</v>
      </c>
      <c r="K414" s="38" t="s">
        <v>2583</v>
      </c>
      <c r="L414" s="45">
        <v>7200</v>
      </c>
      <c r="M414" s="30">
        <v>0</v>
      </c>
      <c r="N414" s="30">
        <v>0</v>
      </c>
      <c r="O414" s="30">
        <f t="shared" si="7"/>
        <v>7200</v>
      </c>
      <c r="P414" s="44">
        <v>1.03</v>
      </c>
    </row>
    <row r="415" spans="2:16" x14ac:dyDescent="0.35">
      <c r="B415" s="35" t="s">
        <v>3323</v>
      </c>
      <c r="C415" s="80" t="s">
        <v>3603</v>
      </c>
      <c r="D415" s="36">
        <v>44781</v>
      </c>
      <c r="E415" s="36">
        <v>44986</v>
      </c>
      <c r="F415" s="36">
        <v>45093</v>
      </c>
      <c r="G415" s="64" t="s">
        <v>6</v>
      </c>
      <c r="H415" s="43" t="s">
        <v>3604</v>
      </c>
      <c r="I415" s="35" t="s">
        <v>2480</v>
      </c>
      <c r="J415" s="38" t="s">
        <v>4618</v>
      </c>
      <c r="K415" s="38" t="s">
        <v>2573</v>
      </c>
      <c r="L415" s="30">
        <v>1440</v>
      </c>
      <c r="M415" s="30">
        <v>0</v>
      </c>
      <c r="N415" s="30">
        <v>0</v>
      </c>
      <c r="O415" s="30">
        <f t="shared" si="7"/>
        <v>1440</v>
      </c>
      <c r="P415" s="44" t="s">
        <v>2874</v>
      </c>
    </row>
    <row r="416" spans="2:16" x14ac:dyDescent="0.35">
      <c r="B416" s="35" t="s">
        <v>3405</v>
      </c>
      <c r="C416" s="80" t="s">
        <v>3596</v>
      </c>
      <c r="D416" s="36">
        <v>44781</v>
      </c>
      <c r="E416" s="36">
        <v>44988</v>
      </c>
      <c r="F416" s="36">
        <v>45107</v>
      </c>
      <c r="G416" s="64" t="s">
        <v>6</v>
      </c>
      <c r="H416" s="43" t="s">
        <v>3597</v>
      </c>
      <c r="I416" s="35" t="s">
        <v>2476</v>
      </c>
      <c r="J416" s="43" t="s">
        <v>4617</v>
      </c>
      <c r="K416" s="43" t="s">
        <v>3184</v>
      </c>
      <c r="L416" s="30">
        <v>95000</v>
      </c>
      <c r="M416" s="30">
        <v>0</v>
      </c>
      <c r="N416" s="30">
        <f>19000+7358</f>
        <v>26358</v>
      </c>
      <c r="O416" s="30">
        <f t="shared" si="7"/>
        <v>68642</v>
      </c>
      <c r="P416" s="44" t="s">
        <v>2874</v>
      </c>
    </row>
    <row r="417" spans="2:16" ht="58" x14ac:dyDescent="0.35">
      <c r="B417" s="39" t="s">
        <v>3423</v>
      </c>
      <c r="C417" s="80" t="s">
        <v>3600</v>
      </c>
      <c r="D417" s="40">
        <v>44910</v>
      </c>
      <c r="E417" s="36">
        <v>44991</v>
      </c>
      <c r="F417" s="36">
        <v>46817</v>
      </c>
      <c r="G417" s="64" t="s">
        <v>6</v>
      </c>
      <c r="H417" s="38" t="s">
        <v>3429</v>
      </c>
      <c r="I417" s="35" t="s">
        <v>2534</v>
      </c>
      <c r="J417" s="38" t="s">
        <v>4590</v>
      </c>
      <c r="K417" s="38" t="s">
        <v>2583</v>
      </c>
      <c r="L417" s="45">
        <v>100000</v>
      </c>
      <c r="M417" s="30">
        <v>0</v>
      </c>
      <c r="N417" s="30">
        <f>20000+20000</f>
        <v>40000</v>
      </c>
      <c r="O417" s="30">
        <f t="shared" si="7"/>
        <v>60000</v>
      </c>
      <c r="P417" s="44">
        <v>71.95</v>
      </c>
    </row>
    <row r="418" spans="2:16" ht="29" x14ac:dyDescent="0.35">
      <c r="B418" s="39" t="s">
        <v>2982</v>
      </c>
      <c r="C418" s="80" t="s">
        <v>3591</v>
      </c>
      <c r="D418" s="40">
        <v>44582</v>
      </c>
      <c r="E418" s="36">
        <v>44992</v>
      </c>
      <c r="F418" s="36">
        <v>46469</v>
      </c>
      <c r="G418" s="64" t="s">
        <v>6</v>
      </c>
      <c r="H418" s="38" t="s">
        <v>3002</v>
      </c>
      <c r="I418" s="35" t="s">
        <v>2480</v>
      </c>
      <c r="J418" s="38" t="s">
        <v>4540</v>
      </c>
      <c r="K418" s="38" t="s">
        <v>2583</v>
      </c>
      <c r="L418" s="45">
        <v>8250</v>
      </c>
      <c r="M418" s="30">
        <v>0</v>
      </c>
      <c r="N418" s="30">
        <v>0</v>
      </c>
      <c r="O418" s="30">
        <f t="shared" si="7"/>
        <v>8250</v>
      </c>
      <c r="P418" s="44">
        <v>10.06</v>
      </c>
    </row>
    <row r="419" spans="2:16" x14ac:dyDescent="0.35">
      <c r="B419" s="39" t="s">
        <v>3428</v>
      </c>
      <c r="C419" s="80" t="s">
        <v>3586</v>
      </c>
      <c r="D419" s="40">
        <v>44910</v>
      </c>
      <c r="E419" s="36">
        <v>44992</v>
      </c>
      <c r="F419" s="36">
        <v>46818</v>
      </c>
      <c r="G419" s="64" t="s">
        <v>6</v>
      </c>
      <c r="H419" s="38" t="s">
        <v>3431</v>
      </c>
      <c r="I419" s="35" t="s">
        <v>2523</v>
      </c>
      <c r="J419" s="38" t="s">
        <v>4478</v>
      </c>
      <c r="K419" s="38" t="s">
        <v>2586</v>
      </c>
      <c r="L419" s="45">
        <v>699000</v>
      </c>
      <c r="M419" s="30">
        <v>0</v>
      </c>
      <c r="N419" s="30">
        <v>610000</v>
      </c>
      <c r="O419" s="30">
        <f t="shared" si="7"/>
        <v>89000</v>
      </c>
      <c r="P419" s="44">
        <v>0.24</v>
      </c>
    </row>
    <row r="420" spans="2:16" ht="29" x14ac:dyDescent="0.35">
      <c r="B420" s="35" t="s">
        <v>3348</v>
      </c>
      <c r="C420" s="80" t="s">
        <v>3609</v>
      </c>
      <c r="D420" s="36">
        <v>44781</v>
      </c>
      <c r="E420" s="36">
        <v>44995</v>
      </c>
      <c r="F420" s="36">
        <v>45544</v>
      </c>
      <c r="G420" s="64" t="s">
        <v>6</v>
      </c>
      <c r="H420" s="43" t="s">
        <v>3610</v>
      </c>
      <c r="I420" s="35" t="s">
        <v>2492</v>
      </c>
      <c r="J420" s="43"/>
      <c r="K420" s="43" t="s">
        <v>3555</v>
      </c>
      <c r="L420" s="30">
        <v>10000</v>
      </c>
      <c r="M420" s="30">
        <v>0</v>
      </c>
      <c r="N420" s="30">
        <v>5000</v>
      </c>
      <c r="O420" s="30">
        <f t="shared" si="7"/>
        <v>5000</v>
      </c>
      <c r="P420" s="44" t="s">
        <v>2874</v>
      </c>
    </row>
    <row r="421" spans="2:16" ht="29" x14ac:dyDescent="0.35">
      <c r="B421" s="35" t="s">
        <v>3348</v>
      </c>
      <c r="C421" s="80" t="s">
        <v>3611</v>
      </c>
      <c r="D421" s="36">
        <v>44781</v>
      </c>
      <c r="E421" s="36">
        <v>44995</v>
      </c>
      <c r="F421" s="36">
        <v>45544</v>
      </c>
      <c r="G421" s="64" t="s">
        <v>6</v>
      </c>
      <c r="H421" s="43" t="s">
        <v>3612</v>
      </c>
      <c r="I421" s="35" t="s">
        <v>2517</v>
      </c>
      <c r="J421" s="43" t="s">
        <v>4620</v>
      </c>
      <c r="K421" s="43" t="s">
        <v>3555</v>
      </c>
      <c r="L421" s="30">
        <v>10000</v>
      </c>
      <c r="M421" s="30">
        <v>0</v>
      </c>
      <c r="N421" s="30">
        <v>5000</v>
      </c>
      <c r="O421" s="30">
        <f t="shared" si="7"/>
        <v>5000</v>
      </c>
      <c r="P421" s="44" t="s">
        <v>2874</v>
      </c>
    </row>
    <row r="422" spans="2:16" ht="29" x14ac:dyDescent="0.35">
      <c r="B422" s="35" t="s">
        <v>3348</v>
      </c>
      <c r="C422" s="80" t="s">
        <v>3613</v>
      </c>
      <c r="D422" s="36">
        <v>44781</v>
      </c>
      <c r="E422" s="36">
        <v>44995</v>
      </c>
      <c r="F422" s="36">
        <v>45544</v>
      </c>
      <c r="G422" s="64" t="s">
        <v>6</v>
      </c>
      <c r="H422" s="43" t="s">
        <v>3655</v>
      </c>
      <c r="I422" s="35" t="s">
        <v>2516</v>
      </c>
      <c r="J422" s="43" t="s">
        <v>3656</v>
      </c>
      <c r="K422" s="43" t="s">
        <v>3555</v>
      </c>
      <c r="L422" s="30">
        <v>10000</v>
      </c>
      <c r="M422" s="30">
        <v>0</v>
      </c>
      <c r="N422" s="30">
        <v>5000</v>
      </c>
      <c r="O422" s="30">
        <f t="shared" si="7"/>
        <v>5000</v>
      </c>
      <c r="P422" s="44" t="s">
        <v>2874</v>
      </c>
    </row>
    <row r="423" spans="2:16" ht="29" x14ac:dyDescent="0.35">
      <c r="B423" s="35" t="s">
        <v>3348</v>
      </c>
      <c r="C423" s="80" t="s">
        <v>3614</v>
      </c>
      <c r="D423" s="36">
        <v>44781</v>
      </c>
      <c r="E423" s="36">
        <v>44995</v>
      </c>
      <c r="F423" s="36">
        <v>45544</v>
      </c>
      <c r="G423" s="64" t="s">
        <v>5683</v>
      </c>
      <c r="H423" s="43" t="s">
        <v>3615</v>
      </c>
      <c r="I423" s="35" t="s">
        <v>2816</v>
      </c>
      <c r="J423" s="43" t="s">
        <v>5806</v>
      </c>
      <c r="K423" s="43" t="s">
        <v>3555</v>
      </c>
      <c r="L423" s="30">
        <v>10000</v>
      </c>
      <c r="M423" s="30">
        <v>5000</v>
      </c>
      <c r="N423" s="30">
        <v>5000</v>
      </c>
      <c r="O423" s="30">
        <f t="shared" si="7"/>
        <v>0</v>
      </c>
      <c r="P423" s="44" t="s">
        <v>2874</v>
      </c>
    </row>
    <row r="424" spans="2:16" ht="29" x14ac:dyDescent="0.35">
      <c r="B424" s="35" t="s">
        <v>3348</v>
      </c>
      <c r="C424" s="80" t="s">
        <v>3616</v>
      </c>
      <c r="D424" s="36">
        <v>44781</v>
      </c>
      <c r="E424" s="36">
        <v>44998</v>
      </c>
      <c r="F424" s="36">
        <v>45547</v>
      </c>
      <c r="G424" s="64" t="s">
        <v>6</v>
      </c>
      <c r="H424" s="43" t="s">
        <v>3617</v>
      </c>
      <c r="I424" s="35" t="s">
        <v>2474</v>
      </c>
      <c r="J424" s="43"/>
      <c r="K424" s="43" t="s">
        <v>3555</v>
      </c>
      <c r="L424" s="30">
        <v>10000</v>
      </c>
      <c r="M424" s="30">
        <v>0</v>
      </c>
      <c r="N424" s="30">
        <v>5000</v>
      </c>
      <c r="O424" s="30">
        <f t="shared" si="7"/>
        <v>5000</v>
      </c>
      <c r="P424" s="44" t="s">
        <v>2874</v>
      </c>
    </row>
    <row r="425" spans="2:16" ht="29" x14ac:dyDescent="0.35">
      <c r="B425" s="35" t="s">
        <v>3348</v>
      </c>
      <c r="C425" s="80" t="s">
        <v>3618</v>
      </c>
      <c r="D425" s="36">
        <v>44781</v>
      </c>
      <c r="E425" s="36">
        <v>44998</v>
      </c>
      <c r="F425" s="36">
        <v>45547</v>
      </c>
      <c r="G425" s="64" t="s">
        <v>6</v>
      </c>
      <c r="H425" s="43" t="s">
        <v>3619</v>
      </c>
      <c r="I425" s="35" t="s">
        <v>2527</v>
      </c>
      <c r="J425" s="43" t="s">
        <v>3656</v>
      </c>
      <c r="K425" s="43" t="s">
        <v>3555</v>
      </c>
      <c r="L425" s="30">
        <v>10000</v>
      </c>
      <c r="M425" s="30">
        <v>0</v>
      </c>
      <c r="N425" s="30">
        <v>5000</v>
      </c>
      <c r="O425" s="30">
        <f t="shared" si="7"/>
        <v>5000</v>
      </c>
      <c r="P425" s="44" t="s">
        <v>2874</v>
      </c>
    </row>
    <row r="426" spans="2:16" ht="29" x14ac:dyDescent="0.35">
      <c r="B426" s="35" t="s">
        <v>3348</v>
      </c>
      <c r="C426" s="80" t="s">
        <v>3620</v>
      </c>
      <c r="D426" s="36">
        <v>44781</v>
      </c>
      <c r="E426" s="36">
        <v>44998</v>
      </c>
      <c r="F426" s="36">
        <v>45547</v>
      </c>
      <c r="G426" s="64" t="s">
        <v>6</v>
      </c>
      <c r="H426" s="43" t="s">
        <v>3621</v>
      </c>
      <c r="I426" s="35" t="s">
        <v>2816</v>
      </c>
      <c r="J426" s="43"/>
      <c r="K426" s="43" t="s">
        <v>3555</v>
      </c>
      <c r="L426" s="30">
        <v>10000</v>
      </c>
      <c r="M426" s="30">
        <v>0</v>
      </c>
      <c r="N426" s="30">
        <v>5000</v>
      </c>
      <c r="O426" s="30">
        <f t="shared" si="7"/>
        <v>5000</v>
      </c>
      <c r="P426" s="44" t="s">
        <v>2874</v>
      </c>
    </row>
    <row r="427" spans="2:16" ht="29" x14ac:dyDescent="0.35">
      <c r="B427" s="35" t="s">
        <v>3348</v>
      </c>
      <c r="C427" s="80" t="s">
        <v>3622</v>
      </c>
      <c r="D427" s="36">
        <v>44781</v>
      </c>
      <c r="E427" s="36">
        <v>44998</v>
      </c>
      <c r="F427" s="36">
        <v>45547</v>
      </c>
      <c r="G427" s="64" t="s">
        <v>6</v>
      </c>
      <c r="H427" s="43" t="s">
        <v>3623</v>
      </c>
      <c r="I427" s="35" t="s">
        <v>2917</v>
      </c>
      <c r="J427" s="43"/>
      <c r="K427" s="43" t="s">
        <v>3555</v>
      </c>
      <c r="L427" s="30">
        <v>10000</v>
      </c>
      <c r="M427" s="30">
        <v>0</v>
      </c>
      <c r="N427" s="30">
        <f>5000+5000</f>
        <v>10000</v>
      </c>
      <c r="O427" s="30">
        <f t="shared" si="7"/>
        <v>0</v>
      </c>
      <c r="P427" s="44" t="s">
        <v>2874</v>
      </c>
    </row>
    <row r="428" spans="2:16" ht="29" x14ac:dyDescent="0.35">
      <c r="B428" s="35" t="s">
        <v>3348</v>
      </c>
      <c r="C428" s="80" t="s">
        <v>3624</v>
      </c>
      <c r="D428" s="36">
        <v>44781</v>
      </c>
      <c r="E428" s="36">
        <v>44998</v>
      </c>
      <c r="F428" s="36">
        <v>45547</v>
      </c>
      <c r="G428" s="64" t="s">
        <v>6</v>
      </c>
      <c r="H428" s="43" t="s">
        <v>3625</v>
      </c>
      <c r="I428" s="35" t="s">
        <v>2480</v>
      </c>
      <c r="J428" s="43"/>
      <c r="K428" s="43" t="s">
        <v>3555</v>
      </c>
      <c r="L428" s="30">
        <v>10000</v>
      </c>
      <c r="M428" s="30">
        <v>0</v>
      </c>
      <c r="N428" s="30">
        <v>5000</v>
      </c>
      <c r="O428" s="30">
        <f t="shared" si="7"/>
        <v>5000</v>
      </c>
      <c r="P428" s="44" t="s">
        <v>2874</v>
      </c>
    </row>
    <row r="429" spans="2:16" ht="29" x14ac:dyDescent="0.35">
      <c r="B429" s="35" t="s">
        <v>3348</v>
      </c>
      <c r="C429" s="80" t="s">
        <v>3626</v>
      </c>
      <c r="D429" s="36">
        <v>44781</v>
      </c>
      <c r="E429" s="36">
        <v>44998</v>
      </c>
      <c r="F429" s="36">
        <v>45547</v>
      </c>
      <c r="G429" s="64" t="s">
        <v>6</v>
      </c>
      <c r="H429" s="43" t="s">
        <v>3627</v>
      </c>
      <c r="I429" s="35" t="s">
        <v>3133</v>
      </c>
      <c r="J429" s="43"/>
      <c r="K429" s="43" t="s">
        <v>3555</v>
      </c>
      <c r="L429" s="30">
        <v>10000</v>
      </c>
      <c r="M429" s="30">
        <v>0</v>
      </c>
      <c r="N429" s="30">
        <v>5000</v>
      </c>
      <c r="O429" s="30">
        <f t="shared" si="7"/>
        <v>5000</v>
      </c>
      <c r="P429" s="44" t="s">
        <v>2874</v>
      </c>
    </row>
    <row r="430" spans="2:16" ht="43.5" x14ac:dyDescent="0.35">
      <c r="B430" s="39" t="s">
        <v>3390</v>
      </c>
      <c r="C430" s="80" t="s">
        <v>3607</v>
      </c>
      <c r="D430" s="40">
        <v>44897</v>
      </c>
      <c r="E430" s="36">
        <v>44999</v>
      </c>
      <c r="F430" s="36">
        <v>45260</v>
      </c>
      <c r="G430" s="64" t="s">
        <v>6</v>
      </c>
      <c r="H430" s="38" t="s">
        <v>3391</v>
      </c>
      <c r="I430" s="35"/>
      <c r="J430" s="38" t="s">
        <v>4594</v>
      </c>
      <c r="K430" s="38" t="s">
        <v>2584</v>
      </c>
      <c r="L430" s="45">
        <v>150000</v>
      </c>
      <c r="M430" s="30">
        <v>0</v>
      </c>
      <c r="N430" s="30">
        <v>100000</v>
      </c>
      <c r="O430" s="30">
        <f t="shared" si="7"/>
        <v>50000</v>
      </c>
      <c r="P430" s="44" t="s">
        <v>3412</v>
      </c>
    </row>
    <row r="431" spans="2:16" ht="29" x14ac:dyDescent="0.35">
      <c r="B431" s="39" t="s">
        <v>3482</v>
      </c>
      <c r="C431" s="80" t="s">
        <v>3641</v>
      </c>
      <c r="D431" s="40">
        <v>44949</v>
      </c>
      <c r="E431" s="36">
        <v>45001</v>
      </c>
      <c r="F431" s="36">
        <v>46096</v>
      </c>
      <c r="G431" s="64" t="s">
        <v>6</v>
      </c>
      <c r="H431" s="38" t="s">
        <v>3488</v>
      </c>
      <c r="I431" s="35" t="s">
        <v>2522</v>
      </c>
      <c r="J431" s="38" t="s">
        <v>4606</v>
      </c>
      <c r="K431" s="38" t="s">
        <v>2583</v>
      </c>
      <c r="L431" s="45">
        <v>2250</v>
      </c>
      <c r="M431" s="30">
        <v>0</v>
      </c>
      <c r="N431" s="30">
        <v>0</v>
      </c>
      <c r="O431" s="30">
        <f t="shared" si="7"/>
        <v>2250</v>
      </c>
      <c r="P431" s="44">
        <v>0.53</v>
      </c>
    </row>
    <row r="432" spans="2:16" ht="29" x14ac:dyDescent="0.35">
      <c r="B432" s="39" t="s">
        <v>3483</v>
      </c>
      <c r="C432" s="80" t="s">
        <v>3642</v>
      </c>
      <c r="D432" s="40">
        <v>44949</v>
      </c>
      <c r="E432" s="36">
        <v>45001</v>
      </c>
      <c r="F432" s="36">
        <v>46827</v>
      </c>
      <c r="G432" s="64" t="s">
        <v>6</v>
      </c>
      <c r="H432" s="38" t="s">
        <v>3488</v>
      </c>
      <c r="I432" s="35" t="s">
        <v>2522</v>
      </c>
      <c r="J432" s="38" t="s">
        <v>4606</v>
      </c>
      <c r="K432" s="38" t="s">
        <v>2586</v>
      </c>
      <c r="L432" s="45">
        <v>15044</v>
      </c>
      <c r="M432" s="30">
        <v>0</v>
      </c>
      <c r="N432" s="30">
        <f>8322+2709.2</f>
        <v>11031.2</v>
      </c>
      <c r="O432" s="30">
        <f t="shared" si="7"/>
        <v>4012.7999999999993</v>
      </c>
      <c r="P432" s="44">
        <v>0.53</v>
      </c>
    </row>
    <row r="433" spans="2:16" ht="29" x14ac:dyDescent="0.35">
      <c r="B433" s="35" t="s">
        <v>3525</v>
      </c>
      <c r="C433" s="80" t="s">
        <v>3630</v>
      </c>
      <c r="D433" s="36">
        <v>44781</v>
      </c>
      <c r="E433" s="36">
        <v>45005</v>
      </c>
      <c r="F433" s="36">
        <v>45554</v>
      </c>
      <c r="G433" s="64" t="s">
        <v>6</v>
      </c>
      <c r="H433" s="43" t="s">
        <v>1279</v>
      </c>
      <c r="I433" s="35" t="s">
        <v>2498</v>
      </c>
      <c r="J433" s="38" t="s">
        <v>4621</v>
      </c>
      <c r="K433" s="38" t="s">
        <v>3417</v>
      </c>
      <c r="L433" s="30">
        <v>50000</v>
      </c>
      <c r="M433" s="30">
        <v>0</v>
      </c>
      <c r="N433" s="30">
        <v>0</v>
      </c>
      <c r="O433" s="30">
        <f t="shared" si="7"/>
        <v>50000</v>
      </c>
      <c r="P433" s="44" t="s">
        <v>2874</v>
      </c>
    </row>
    <row r="434" spans="2:16" ht="29" x14ac:dyDescent="0.35">
      <c r="B434" s="35" t="s">
        <v>3348</v>
      </c>
      <c r="C434" s="80" t="s">
        <v>3905</v>
      </c>
      <c r="D434" s="36">
        <v>44781</v>
      </c>
      <c r="E434" s="36">
        <v>45005</v>
      </c>
      <c r="F434" s="36">
        <v>45370</v>
      </c>
      <c r="G434" s="64" t="s">
        <v>6</v>
      </c>
      <c r="H434" s="43" t="s">
        <v>3906</v>
      </c>
      <c r="I434" s="35" t="s">
        <v>2494</v>
      </c>
      <c r="J434" s="43"/>
      <c r="K434" s="43" t="s">
        <v>3555</v>
      </c>
      <c r="L434" s="30">
        <v>1346.36</v>
      </c>
      <c r="M434" s="30">
        <v>0</v>
      </c>
      <c r="N434" s="30">
        <v>363.23</v>
      </c>
      <c r="O434" s="30">
        <f t="shared" si="7"/>
        <v>983.12999999999988</v>
      </c>
      <c r="P434" s="44" t="s">
        <v>2874</v>
      </c>
    </row>
    <row r="435" spans="2:16" ht="29" x14ac:dyDescent="0.35">
      <c r="B435" s="35" t="s">
        <v>3348</v>
      </c>
      <c r="C435" s="80" t="s">
        <v>3907</v>
      </c>
      <c r="D435" s="36">
        <v>44781</v>
      </c>
      <c r="E435" s="36">
        <v>45005</v>
      </c>
      <c r="F435" s="36">
        <v>45370</v>
      </c>
      <c r="G435" s="64" t="s">
        <v>6</v>
      </c>
      <c r="H435" s="43" t="s">
        <v>3908</v>
      </c>
      <c r="I435" s="35" t="s">
        <v>2527</v>
      </c>
      <c r="J435" s="43"/>
      <c r="K435" s="43" t="s">
        <v>3555</v>
      </c>
      <c r="L435" s="30">
        <v>10000</v>
      </c>
      <c r="M435" s="30">
        <v>0</v>
      </c>
      <c r="N435" s="30">
        <v>0</v>
      </c>
      <c r="O435" s="30">
        <f t="shared" si="7"/>
        <v>10000</v>
      </c>
      <c r="P435" s="44" t="s">
        <v>2874</v>
      </c>
    </row>
    <row r="436" spans="2:16" ht="29" x14ac:dyDescent="0.35">
      <c r="B436" s="39" t="s">
        <v>3557</v>
      </c>
      <c r="C436" s="80" t="s">
        <v>3628</v>
      </c>
      <c r="D436" s="40">
        <v>44439</v>
      </c>
      <c r="E436" s="36">
        <v>45008</v>
      </c>
      <c r="F436" s="36">
        <v>46103</v>
      </c>
      <c r="G436" s="64" t="s">
        <v>6</v>
      </c>
      <c r="H436" s="38" t="s">
        <v>3559</v>
      </c>
      <c r="I436" s="39" t="s">
        <v>2473</v>
      </c>
      <c r="J436" s="38" t="s">
        <v>4613</v>
      </c>
      <c r="K436" s="38" t="s">
        <v>2583</v>
      </c>
      <c r="L436" s="45">
        <v>17000</v>
      </c>
      <c r="M436" s="30">
        <v>0</v>
      </c>
      <c r="N436" s="30">
        <v>0</v>
      </c>
      <c r="O436" s="30">
        <f t="shared" si="7"/>
        <v>17000</v>
      </c>
      <c r="P436" s="26">
        <v>2.5</v>
      </c>
    </row>
    <row r="437" spans="2:16" ht="29" x14ac:dyDescent="0.35">
      <c r="B437" s="39" t="s">
        <v>3558</v>
      </c>
      <c r="C437" s="80" t="s">
        <v>3629</v>
      </c>
      <c r="D437" s="40">
        <v>44439</v>
      </c>
      <c r="E437" s="36">
        <v>45008</v>
      </c>
      <c r="F437" s="36">
        <v>46103</v>
      </c>
      <c r="G437" s="64" t="s">
        <v>6</v>
      </c>
      <c r="H437" s="38" t="s">
        <v>3559</v>
      </c>
      <c r="I437" s="39" t="s">
        <v>2473</v>
      </c>
      <c r="J437" s="38" t="s">
        <v>4613</v>
      </c>
      <c r="K437" s="38" t="s">
        <v>2586</v>
      </c>
      <c r="L437" s="45">
        <v>88226</v>
      </c>
      <c r="M437" s="30">
        <v>0</v>
      </c>
      <c r="N437" s="30">
        <v>0</v>
      </c>
      <c r="O437" s="30">
        <f t="shared" si="7"/>
        <v>88226</v>
      </c>
      <c r="P437" s="26">
        <v>2.5</v>
      </c>
    </row>
    <row r="438" spans="2:16" x14ac:dyDescent="0.35">
      <c r="B438" s="39" t="s">
        <v>3420</v>
      </c>
      <c r="C438" s="80" t="s">
        <v>3645</v>
      </c>
      <c r="D438" s="40">
        <v>44910</v>
      </c>
      <c r="E438" s="36">
        <v>45009</v>
      </c>
      <c r="F438" s="36">
        <v>46835</v>
      </c>
      <c r="G438" s="64" t="s">
        <v>6</v>
      </c>
      <c r="H438" s="38" t="s">
        <v>2428</v>
      </c>
      <c r="I438" s="35" t="s">
        <v>2525</v>
      </c>
      <c r="J438" s="38" t="s">
        <v>4597</v>
      </c>
      <c r="K438" s="38" t="s">
        <v>2583</v>
      </c>
      <c r="L438" s="45">
        <v>45000</v>
      </c>
      <c r="M438" s="30">
        <v>0</v>
      </c>
      <c r="N438" s="30">
        <v>0</v>
      </c>
      <c r="O438" s="30">
        <f t="shared" si="7"/>
        <v>45000</v>
      </c>
      <c r="P438" s="44">
        <v>1.99</v>
      </c>
    </row>
    <row r="439" spans="2:16" x14ac:dyDescent="0.35">
      <c r="B439" s="39" t="s">
        <v>3422</v>
      </c>
      <c r="C439" s="80" t="s">
        <v>3647</v>
      </c>
      <c r="D439" s="40">
        <v>44910</v>
      </c>
      <c r="E439" s="36">
        <v>45009</v>
      </c>
      <c r="F439" s="36">
        <v>46835</v>
      </c>
      <c r="G439" s="64" t="s">
        <v>6</v>
      </c>
      <c r="H439" s="38" t="s">
        <v>2428</v>
      </c>
      <c r="I439" s="35" t="s">
        <v>2525</v>
      </c>
      <c r="J439" s="38" t="s">
        <v>4597</v>
      </c>
      <c r="K439" s="38" t="s">
        <v>2585</v>
      </c>
      <c r="L439" s="45">
        <v>50000</v>
      </c>
      <c r="M439" s="30">
        <v>0</v>
      </c>
      <c r="N439" s="30">
        <v>50000</v>
      </c>
      <c r="O439" s="30">
        <f t="shared" si="7"/>
        <v>0</v>
      </c>
      <c r="P439" s="44">
        <v>1.99</v>
      </c>
    </row>
    <row r="440" spans="2:16" x14ac:dyDescent="0.35">
      <c r="B440" s="39" t="s">
        <v>3443</v>
      </c>
      <c r="C440" s="80" t="s">
        <v>3643</v>
      </c>
      <c r="D440" s="40">
        <v>44917</v>
      </c>
      <c r="E440" s="36">
        <v>45009</v>
      </c>
      <c r="F440" s="36">
        <v>46835</v>
      </c>
      <c r="G440" s="64" t="s">
        <v>6</v>
      </c>
      <c r="H440" s="38" t="s">
        <v>3450</v>
      </c>
      <c r="I440" s="35" t="s">
        <v>2541</v>
      </c>
      <c r="J440" s="38" t="s">
        <v>3477</v>
      </c>
      <c r="K440" s="38" t="s">
        <v>2583</v>
      </c>
      <c r="L440" s="45">
        <v>3375</v>
      </c>
      <c r="M440" s="30">
        <v>0</v>
      </c>
      <c r="N440" s="30">
        <v>0</v>
      </c>
      <c r="O440" s="30">
        <f t="shared" si="7"/>
        <v>3375</v>
      </c>
      <c r="P440" s="44">
        <v>2.2799999999999998</v>
      </c>
    </row>
    <row r="441" spans="2:16" x14ac:dyDescent="0.35">
      <c r="B441" s="39" t="s">
        <v>3444</v>
      </c>
      <c r="C441" s="80" t="s">
        <v>3644</v>
      </c>
      <c r="D441" s="40">
        <v>44917</v>
      </c>
      <c r="E441" s="36">
        <v>45009</v>
      </c>
      <c r="F441" s="36">
        <v>46835</v>
      </c>
      <c r="G441" s="64" t="s">
        <v>6</v>
      </c>
      <c r="H441" s="38" t="s">
        <v>3450</v>
      </c>
      <c r="I441" s="35" t="s">
        <v>2541</v>
      </c>
      <c r="J441" s="38" t="s">
        <v>3477</v>
      </c>
      <c r="K441" s="38" t="s">
        <v>2586</v>
      </c>
      <c r="L441" s="45">
        <v>25000</v>
      </c>
      <c r="M441" s="30">
        <v>0</v>
      </c>
      <c r="N441" s="30">
        <v>10491.17</v>
      </c>
      <c r="O441" s="30">
        <f t="shared" si="7"/>
        <v>14508.83</v>
      </c>
      <c r="P441" s="44">
        <v>2.2799999999999998</v>
      </c>
    </row>
    <row r="442" spans="2:16" x14ac:dyDescent="0.35">
      <c r="B442" s="39" t="s">
        <v>3101</v>
      </c>
      <c r="C442" s="80" t="s">
        <v>3650</v>
      </c>
      <c r="D442" s="40">
        <v>44678</v>
      </c>
      <c r="E442" s="36">
        <v>45012</v>
      </c>
      <c r="F442" s="36">
        <v>46838</v>
      </c>
      <c r="G442" s="64" t="s">
        <v>6</v>
      </c>
      <c r="H442" s="38" t="s">
        <v>3107</v>
      </c>
      <c r="I442" s="35" t="s">
        <v>2492</v>
      </c>
      <c r="J442" s="38" t="s">
        <v>4566</v>
      </c>
      <c r="K442" s="38" t="s">
        <v>2583</v>
      </c>
      <c r="L442" s="45">
        <v>4000</v>
      </c>
      <c r="M442" s="49">
        <v>0</v>
      </c>
      <c r="N442" s="49">
        <v>0</v>
      </c>
      <c r="O442" s="30">
        <f t="shared" si="7"/>
        <v>4000</v>
      </c>
      <c r="P442" s="44">
        <v>1.02</v>
      </c>
    </row>
    <row r="443" spans="2:16" x14ac:dyDescent="0.35">
      <c r="B443" s="39" t="s">
        <v>2998</v>
      </c>
      <c r="C443" s="80" t="s">
        <v>3648</v>
      </c>
      <c r="D443" s="40">
        <v>44585</v>
      </c>
      <c r="E443" s="36">
        <v>45014</v>
      </c>
      <c r="F443" s="36">
        <v>47935</v>
      </c>
      <c r="G443" s="64" t="s">
        <v>6</v>
      </c>
      <c r="H443" s="38" t="s">
        <v>3009</v>
      </c>
      <c r="I443" s="39" t="s">
        <v>2504</v>
      </c>
      <c r="J443" s="38" t="s">
        <v>4550</v>
      </c>
      <c r="K443" s="38" t="s">
        <v>2586</v>
      </c>
      <c r="L443" s="45">
        <v>10000000</v>
      </c>
      <c r="M443" s="30">
        <v>0</v>
      </c>
      <c r="N443" s="30">
        <v>0</v>
      </c>
      <c r="O443" s="30">
        <f t="shared" si="7"/>
        <v>10000000</v>
      </c>
      <c r="P443" s="44">
        <v>38.92</v>
      </c>
    </row>
    <row r="444" spans="2:16" ht="29" x14ac:dyDescent="0.35">
      <c r="B444" s="39" t="s">
        <v>3481</v>
      </c>
      <c r="C444" s="80" t="s">
        <v>3649</v>
      </c>
      <c r="D444" s="40">
        <v>44949</v>
      </c>
      <c r="E444" s="36">
        <v>45014</v>
      </c>
      <c r="F444" s="36">
        <v>46811</v>
      </c>
      <c r="G444" s="64" t="s">
        <v>6</v>
      </c>
      <c r="H444" s="38" t="s">
        <v>3487</v>
      </c>
      <c r="I444" s="35" t="s">
        <v>2488</v>
      </c>
      <c r="J444" s="38" t="s">
        <v>4605</v>
      </c>
      <c r="K444" s="38" t="s">
        <v>2586</v>
      </c>
      <c r="L444" s="45">
        <v>50000</v>
      </c>
      <c r="M444" s="30">
        <v>0</v>
      </c>
      <c r="N444" s="30">
        <v>0</v>
      </c>
      <c r="O444" s="30">
        <f t="shared" si="7"/>
        <v>50000</v>
      </c>
      <c r="P444" s="44">
        <v>2.2000000000000002</v>
      </c>
    </row>
    <row r="445" spans="2:16" ht="29" x14ac:dyDescent="0.35">
      <c r="B445" s="39" t="s">
        <v>2697</v>
      </c>
      <c r="C445" s="101" t="s">
        <v>3677</v>
      </c>
      <c r="D445" s="40">
        <v>44194</v>
      </c>
      <c r="E445" s="40">
        <v>45016</v>
      </c>
      <c r="F445" s="40">
        <v>45107</v>
      </c>
      <c r="G445" s="63" t="s">
        <v>5683</v>
      </c>
      <c r="H445" s="38" t="s">
        <v>2652</v>
      </c>
      <c r="I445" s="39" t="s">
        <v>2654</v>
      </c>
      <c r="J445" s="38" t="s">
        <v>2692</v>
      </c>
      <c r="K445" s="38" t="s">
        <v>2692</v>
      </c>
      <c r="L445" s="31">
        <v>880000</v>
      </c>
      <c r="M445" s="31">
        <v>27626.95</v>
      </c>
      <c r="N445" s="31">
        <f>753621.05+98752</f>
        <v>852373.05</v>
      </c>
      <c r="O445" s="30">
        <f t="shared" si="7"/>
        <v>0</v>
      </c>
      <c r="P445" s="26" t="s">
        <v>6515</v>
      </c>
    </row>
    <row r="446" spans="2:16" ht="29" x14ac:dyDescent="0.35">
      <c r="B446" s="39" t="s">
        <v>3358</v>
      </c>
      <c r="C446" s="80" t="s">
        <v>3581</v>
      </c>
      <c r="D446" s="40">
        <v>44869</v>
      </c>
      <c r="E446" s="36">
        <v>45016</v>
      </c>
      <c r="F446" s="36">
        <v>46796</v>
      </c>
      <c r="G446" s="64" t="s">
        <v>6</v>
      </c>
      <c r="H446" s="38" t="s">
        <v>3364</v>
      </c>
      <c r="I446" s="35" t="s">
        <v>2506</v>
      </c>
      <c r="J446" s="38" t="s">
        <v>4591</v>
      </c>
      <c r="K446" s="38" t="s">
        <v>2586</v>
      </c>
      <c r="L446" s="45">
        <v>120000</v>
      </c>
      <c r="M446" s="30">
        <v>0</v>
      </c>
      <c r="N446" s="30">
        <v>21750</v>
      </c>
      <c r="O446" s="30">
        <f t="shared" si="7"/>
        <v>98250</v>
      </c>
      <c r="P446" s="44">
        <v>1.06</v>
      </c>
    </row>
    <row r="447" spans="2:16" ht="29" x14ac:dyDescent="0.35">
      <c r="B447" s="35" t="s">
        <v>3348</v>
      </c>
      <c r="C447" s="80" t="s">
        <v>3631</v>
      </c>
      <c r="D447" s="36">
        <v>44781</v>
      </c>
      <c r="E447" s="36">
        <v>45016</v>
      </c>
      <c r="F447" s="36">
        <v>45565</v>
      </c>
      <c r="G447" s="64" t="s">
        <v>6</v>
      </c>
      <c r="H447" s="43" t="s">
        <v>3632</v>
      </c>
      <c r="I447" s="35" t="s">
        <v>2503</v>
      </c>
      <c r="J447" s="43" t="s">
        <v>4622</v>
      </c>
      <c r="K447" s="43" t="s">
        <v>3555</v>
      </c>
      <c r="L447" s="30">
        <v>6515.35</v>
      </c>
      <c r="M447" s="30">
        <v>0</v>
      </c>
      <c r="N447" s="30">
        <v>3257.67</v>
      </c>
      <c r="O447" s="30">
        <f t="shared" si="7"/>
        <v>3257.6800000000003</v>
      </c>
      <c r="P447" s="44" t="s">
        <v>2874</v>
      </c>
    </row>
    <row r="448" spans="2:16" ht="29" x14ac:dyDescent="0.35">
      <c r="B448" s="35" t="s">
        <v>3348</v>
      </c>
      <c r="C448" s="80" t="s">
        <v>3633</v>
      </c>
      <c r="D448" s="36">
        <v>44781</v>
      </c>
      <c r="E448" s="36">
        <v>45016</v>
      </c>
      <c r="F448" s="36">
        <v>45565</v>
      </c>
      <c r="G448" s="64" t="s">
        <v>6</v>
      </c>
      <c r="H448" s="43" t="s">
        <v>3634</v>
      </c>
      <c r="I448" s="35" t="s">
        <v>2522</v>
      </c>
      <c r="J448" s="43" t="s">
        <v>3331</v>
      </c>
      <c r="K448" s="43" t="s">
        <v>3555</v>
      </c>
      <c r="L448" s="30">
        <v>7000</v>
      </c>
      <c r="M448" s="30">
        <v>0</v>
      </c>
      <c r="N448" s="30">
        <v>3500</v>
      </c>
      <c r="O448" s="30">
        <f t="shared" si="7"/>
        <v>3500</v>
      </c>
      <c r="P448" s="44" t="s">
        <v>2874</v>
      </c>
    </row>
    <row r="449" spans="2:16" ht="29" x14ac:dyDescent="0.35">
      <c r="B449" s="35" t="s">
        <v>3348</v>
      </c>
      <c r="C449" s="80" t="s">
        <v>3635</v>
      </c>
      <c r="D449" s="36">
        <v>44781</v>
      </c>
      <c r="E449" s="36">
        <v>45016</v>
      </c>
      <c r="F449" s="36">
        <v>45565</v>
      </c>
      <c r="G449" s="64" t="s">
        <v>6</v>
      </c>
      <c r="H449" s="43" t="s">
        <v>3636</v>
      </c>
      <c r="I449" s="35"/>
      <c r="J449" s="43"/>
      <c r="K449" s="43" t="s">
        <v>3555</v>
      </c>
      <c r="L449" s="30">
        <v>10000</v>
      </c>
      <c r="M449" s="30">
        <v>0</v>
      </c>
      <c r="N449" s="30">
        <f>5000+4170</f>
        <v>9170</v>
      </c>
      <c r="O449" s="30">
        <f t="shared" si="7"/>
        <v>830</v>
      </c>
      <c r="P449" s="44" t="s">
        <v>2874</v>
      </c>
    </row>
    <row r="450" spans="2:16" ht="29" x14ac:dyDescent="0.35">
      <c r="B450" s="35" t="s">
        <v>3348</v>
      </c>
      <c r="C450" s="80" t="s">
        <v>3637</v>
      </c>
      <c r="D450" s="36">
        <v>44781</v>
      </c>
      <c r="E450" s="36">
        <v>45016</v>
      </c>
      <c r="F450" s="36">
        <v>45565</v>
      </c>
      <c r="G450" s="64" t="s">
        <v>6</v>
      </c>
      <c r="H450" s="43" t="s">
        <v>3638</v>
      </c>
      <c r="I450" s="35" t="s">
        <v>2495</v>
      </c>
      <c r="J450" s="43" t="s">
        <v>3657</v>
      </c>
      <c r="K450" s="43" t="s">
        <v>3555</v>
      </c>
      <c r="L450" s="30">
        <v>10000</v>
      </c>
      <c r="M450" s="30">
        <v>0</v>
      </c>
      <c r="N450" s="30">
        <v>5000</v>
      </c>
      <c r="O450" s="30">
        <f t="shared" si="7"/>
        <v>5000</v>
      </c>
      <c r="P450" s="44" t="s">
        <v>2874</v>
      </c>
    </row>
    <row r="451" spans="2:16" ht="29" x14ac:dyDescent="0.35">
      <c r="B451" s="35" t="s">
        <v>3348</v>
      </c>
      <c r="C451" s="80" t="s">
        <v>3639</v>
      </c>
      <c r="D451" s="36">
        <v>44781</v>
      </c>
      <c r="E451" s="36">
        <v>45016</v>
      </c>
      <c r="F451" s="36">
        <v>45565</v>
      </c>
      <c r="G451" s="64" t="s">
        <v>6</v>
      </c>
      <c r="H451" s="43" t="s">
        <v>3640</v>
      </c>
      <c r="I451" s="35" t="s">
        <v>2804</v>
      </c>
      <c r="J451" s="43"/>
      <c r="K451" s="43" t="s">
        <v>3555</v>
      </c>
      <c r="L451" s="30">
        <v>7500</v>
      </c>
      <c r="M451" s="30">
        <v>0</v>
      </c>
      <c r="N451" s="30">
        <v>3750</v>
      </c>
      <c r="O451" s="30">
        <f t="shared" si="7"/>
        <v>3750</v>
      </c>
      <c r="P451" s="44" t="s">
        <v>2874</v>
      </c>
    </row>
    <row r="452" spans="2:16" ht="43.5" x14ac:dyDescent="0.35">
      <c r="B452" s="39" t="s">
        <v>3432</v>
      </c>
      <c r="C452" s="80" t="s">
        <v>3691</v>
      </c>
      <c r="D452" s="40">
        <v>44910</v>
      </c>
      <c r="E452" s="36">
        <v>45017</v>
      </c>
      <c r="F452" s="36">
        <v>46863</v>
      </c>
      <c r="G452" s="64" t="s">
        <v>6</v>
      </c>
      <c r="H452" s="38" t="s">
        <v>3438</v>
      </c>
      <c r="I452" s="35" t="s">
        <v>2643</v>
      </c>
      <c r="J452" s="38" t="s">
        <v>4598</v>
      </c>
      <c r="K452" s="38" t="s">
        <v>2583</v>
      </c>
      <c r="L452" s="45">
        <v>4800</v>
      </c>
      <c r="M452" s="30">
        <v>0</v>
      </c>
      <c r="N452" s="30">
        <v>0</v>
      </c>
      <c r="O452" s="30">
        <f t="shared" ref="O452:O515" si="8">L452-M452-N452</f>
        <v>4800</v>
      </c>
      <c r="P452" s="44">
        <v>4.22</v>
      </c>
    </row>
    <row r="453" spans="2:16" ht="29" x14ac:dyDescent="0.35">
      <c r="B453" s="39" t="s">
        <v>3560</v>
      </c>
      <c r="C453" s="80" t="s">
        <v>3651</v>
      </c>
      <c r="D453" s="40">
        <v>44589</v>
      </c>
      <c r="E453" s="36">
        <v>45021</v>
      </c>
      <c r="F453" s="36">
        <v>46847</v>
      </c>
      <c r="G453" s="64" t="s">
        <v>6</v>
      </c>
      <c r="H453" s="38" t="s">
        <v>3022</v>
      </c>
      <c r="I453" s="35" t="s">
        <v>2804</v>
      </c>
      <c r="J453" s="38" t="s">
        <v>4553</v>
      </c>
      <c r="K453" s="38" t="s">
        <v>2586</v>
      </c>
      <c r="L453" s="45">
        <v>125000</v>
      </c>
      <c r="M453" s="30">
        <v>0</v>
      </c>
      <c r="N453" s="30">
        <v>116090.66</v>
      </c>
      <c r="O453" s="30">
        <f t="shared" si="8"/>
        <v>8909.3399999999965</v>
      </c>
      <c r="P453" s="44">
        <v>1.28</v>
      </c>
    </row>
    <row r="454" spans="2:16" x14ac:dyDescent="0.35">
      <c r="B454" s="35" t="s">
        <v>3379</v>
      </c>
      <c r="C454" s="80" t="s">
        <v>3652</v>
      </c>
      <c r="D454" s="36">
        <v>44781</v>
      </c>
      <c r="E454" s="36">
        <v>45021</v>
      </c>
      <c r="F454" s="36">
        <v>46116</v>
      </c>
      <c r="G454" s="64" t="s">
        <v>6</v>
      </c>
      <c r="H454" s="43" t="s">
        <v>3653</v>
      </c>
      <c r="I454" s="35" t="s">
        <v>2494</v>
      </c>
      <c r="J454" s="43" t="s">
        <v>4623</v>
      </c>
      <c r="K454" s="43" t="s">
        <v>3384</v>
      </c>
      <c r="L454" s="30">
        <v>200000</v>
      </c>
      <c r="M454" s="30">
        <v>0</v>
      </c>
      <c r="N454" s="30">
        <v>100000</v>
      </c>
      <c r="O454" s="30">
        <f t="shared" si="8"/>
        <v>100000</v>
      </c>
      <c r="P454" s="44" t="s">
        <v>2874</v>
      </c>
    </row>
    <row r="455" spans="2:16" ht="29" x14ac:dyDescent="0.35">
      <c r="B455" s="35" t="s">
        <v>3679</v>
      </c>
      <c r="C455" s="80" t="s">
        <v>3680</v>
      </c>
      <c r="D455" s="36">
        <v>44781</v>
      </c>
      <c r="E455" s="36">
        <v>45021</v>
      </c>
      <c r="F455" s="36">
        <v>45291</v>
      </c>
      <c r="G455" s="64" t="s">
        <v>6</v>
      </c>
      <c r="H455" s="43" t="s">
        <v>3681</v>
      </c>
      <c r="I455" s="35" t="s">
        <v>2492</v>
      </c>
      <c r="J455" s="43" t="s">
        <v>3707</v>
      </c>
      <c r="K455" s="43" t="s">
        <v>3802</v>
      </c>
      <c r="L455" s="30">
        <v>245000</v>
      </c>
      <c r="M455" s="30">
        <v>0</v>
      </c>
      <c r="N455" s="30">
        <f>106600+7200+51264.5</f>
        <v>165064.5</v>
      </c>
      <c r="O455" s="30">
        <f t="shared" si="8"/>
        <v>79935.5</v>
      </c>
      <c r="P455" s="44" t="s">
        <v>2874</v>
      </c>
    </row>
    <row r="456" spans="2:16" x14ac:dyDescent="0.35">
      <c r="B456" s="35" t="s">
        <v>3323</v>
      </c>
      <c r="C456" s="80" t="s">
        <v>3683</v>
      </c>
      <c r="D456" s="36">
        <v>44781</v>
      </c>
      <c r="E456" s="36">
        <v>45021</v>
      </c>
      <c r="F456" s="36">
        <v>45093</v>
      </c>
      <c r="G456" s="64" t="s">
        <v>6</v>
      </c>
      <c r="H456" s="43" t="s">
        <v>3189</v>
      </c>
      <c r="I456" s="35" t="s">
        <v>2484</v>
      </c>
      <c r="J456" s="38" t="s">
        <v>3709</v>
      </c>
      <c r="K456" s="38" t="s">
        <v>2573</v>
      </c>
      <c r="L456" s="30">
        <v>1200</v>
      </c>
      <c r="M456" s="30">
        <v>0</v>
      </c>
      <c r="N456" s="30">
        <v>0</v>
      </c>
      <c r="O456" s="30">
        <f t="shared" si="8"/>
        <v>1200</v>
      </c>
      <c r="P456" s="44" t="s">
        <v>2874</v>
      </c>
    </row>
    <row r="457" spans="2:16" ht="29" x14ac:dyDescent="0.35">
      <c r="B457" s="39" t="s">
        <v>3561</v>
      </c>
      <c r="C457" s="80" t="s">
        <v>3686</v>
      </c>
      <c r="D457" s="40">
        <v>44589</v>
      </c>
      <c r="E457" s="36">
        <v>45028</v>
      </c>
      <c r="F457" s="36">
        <v>46123</v>
      </c>
      <c r="G457" s="64" t="s">
        <v>6</v>
      </c>
      <c r="H457" s="38" t="s">
        <v>3563</v>
      </c>
      <c r="I457" s="35" t="s">
        <v>2534</v>
      </c>
      <c r="J457" s="38" t="s">
        <v>4614</v>
      </c>
      <c r="K457" s="38" t="s">
        <v>2583</v>
      </c>
      <c r="L457" s="45">
        <v>11200</v>
      </c>
      <c r="M457" s="30">
        <v>0</v>
      </c>
      <c r="N457" s="30">
        <v>0</v>
      </c>
      <c r="O457" s="30">
        <f t="shared" si="8"/>
        <v>11200</v>
      </c>
      <c r="P457" s="44">
        <v>1.31</v>
      </c>
    </row>
    <row r="458" spans="2:16" ht="29" x14ac:dyDescent="0.35">
      <c r="B458" s="39" t="s">
        <v>3562</v>
      </c>
      <c r="C458" s="80" t="s">
        <v>3687</v>
      </c>
      <c r="D458" s="40">
        <v>44589</v>
      </c>
      <c r="E458" s="36">
        <v>45028</v>
      </c>
      <c r="F458" s="36">
        <v>46854</v>
      </c>
      <c r="G458" s="64" t="s">
        <v>6</v>
      </c>
      <c r="H458" s="38" t="s">
        <v>3563</v>
      </c>
      <c r="I458" s="35" t="s">
        <v>2534</v>
      </c>
      <c r="J458" s="38" t="s">
        <v>4614</v>
      </c>
      <c r="K458" s="38" t="s">
        <v>2586</v>
      </c>
      <c r="L458" s="45">
        <v>64597</v>
      </c>
      <c r="M458" s="30">
        <v>0</v>
      </c>
      <c r="N458" s="30">
        <v>0</v>
      </c>
      <c r="O458" s="30">
        <f t="shared" si="8"/>
        <v>64597</v>
      </c>
      <c r="P458" s="44">
        <v>1.31</v>
      </c>
    </row>
    <row r="459" spans="2:16" ht="58" x14ac:dyDescent="0.35">
      <c r="B459" s="39" t="s">
        <v>3565</v>
      </c>
      <c r="C459" s="80" t="s">
        <v>3685</v>
      </c>
      <c r="D459" s="40">
        <v>44972</v>
      </c>
      <c r="E459" s="36">
        <v>45028</v>
      </c>
      <c r="F459" s="36">
        <v>46123</v>
      </c>
      <c r="G459" s="64" t="s">
        <v>6</v>
      </c>
      <c r="H459" s="38" t="s">
        <v>3566</v>
      </c>
      <c r="I459" s="35" t="s">
        <v>2816</v>
      </c>
      <c r="J459" s="38" t="s">
        <v>4615</v>
      </c>
      <c r="K459" s="38" t="s">
        <v>2586</v>
      </c>
      <c r="L459" s="45">
        <v>50000</v>
      </c>
      <c r="M459" s="30">
        <v>0</v>
      </c>
      <c r="N459" s="30">
        <f>1097.5+3327.87</f>
        <v>4425.37</v>
      </c>
      <c r="O459" s="30">
        <f t="shared" si="8"/>
        <v>45574.63</v>
      </c>
      <c r="P459" s="44">
        <v>4.2300000000000004</v>
      </c>
    </row>
    <row r="460" spans="2:16" ht="29" x14ac:dyDescent="0.35">
      <c r="B460" s="35" t="s">
        <v>3348</v>
      </c>
      <c r="C460" s="80" t="s">
        <v>3911</v>
      </c>
      <c r="D460" s="36">
        <v>44781</v>
      </c>
      <c r="E460" s="36">
        <v>45029</v>
      </c>
      <c r="F460" s="36">
        <v>45107</v>
      </c>
      <c r="G460" s="64" t="s">
        <v>6</v>
      </c>
      <c r="H460" s="43" t="s">
        <v>3912</v>
      </c>
      <c r="I460" s="35" t="s">
        <v>2491</v>
      </c>
      <c r="J460" s="43" t="s">
        <v>4652</v>
      </c>
      <c r="K460" s="43" t="s">
        <v>3555</v>
      </c>
      <c r="L460" s="30">
        <v>28000</v>
      </c>
      <c r="M460" s="30">
        <v>0</v>
      </c>
      <c r="N460" s="30">
        <v>18480</v>
      </c>
      <c r="O460" s="30">
        <f t="shared" si="8"/>
        <v>9520</v>
      </c>
      <c r="P460" s="44" t="s">
        <v>2874</v>
      </c>
    </row>
    <row r="461" spans="2:16" ht="29" x14ac:dyDescent="0.35">
      <c r="B461" s="35" t="s">
        <v>3525</v>
      </c>
      <c r="C461" s="80" t="s">
        <v>3690</v>
      </c>
      <c r="D461" s="36">
        <v>44781</v>
      </c>
      <c r="E461" s="36">
        <v>45030</v>
      </c>
      <c r="F461" s="36">
        <v>45578</v>
      </c>
      <c r="G461" s="64" t="s">
        <v>6</v>
      </c>
      <c r="H461" s="43" t="s">
        <v>1906</v>
      </c>
      <c r="I461" s="35" t="s">
        <v>2480</v>
      </c>
      <c r="J461" s="38" t="s">
        <v>4629</v>
      </c>
      <c r="K461" s="38" t="s">
        <v>3417</v>
      </c>
      <c r="L461" s="30">
        <v>50000</v>
      </c>
      <c r="M461" s="30">
        <v>0</v>
      </c>
      <c r="N461" s="30">
        <v>0</v>
      </c>
      <c r="O461" s="30">
        <f t="shared" si="8"/>
        <v>50000</v>
      </c>
      <c r="P461" s="44" t="s">
        <v>2874</v>
      </c>
    </row>
    <row r="462" spans="2:16" ht="29" x14ac:dyDescent="0.35">
      <c r="B462" s="35" t="s">
        <v>3688</v>
      </c>
      <c r="C462" s="80" t="s">
        <v>3693</v>
      </c>
      <c r="D462" s="36">
        <v>44781</v>
      </c>
      <c r="E462" s="36">
        <v>45034</v>
      </c>
      <c r="F462" s="36">
        <v>45399</v>
      </c>
      <c r="G462" s="64" t="s">
        <v>5683</v>
      </c>
      <c r="H462" s="43" t="s">
        <v>1295</v>
      </c>
      <c r="I462" s="35" t="s">
        <v>2528</v>
      </c>
      <c r="J462" s="43" t="s">
        <v>3706</v>
      </c>
      <c r="K462" s="43" t="s">
        <v>3689</v>
      </c>
      <c r="L462" s="30">
        <v>13400</v>
      </c>
      <c r="M462" s="30">
        <v>8663.4</v>
      </c>
      <c r="N462" s="30">
        <v>4736.6000000000004</v>
      </c>
      <c r="O462" s="30">
        <f t="shared" si="8"/>
        <v>0</v>
      </c>
      <c r="P462" s="44" t="s">
        <v>6515</v>
      </c>
    </row>
    <row r="463" spans="2:16" ht="43.5" x14ac:dyDescent="0.35">
      <c r="B463" s="35" t="s">
        <v>3348</v>
      </c>
      <c r="C463" s="80" t="s">
        <v>3841</v>
      </c>
      <c r="D463" s="36">
        <v>44781</v>
      </c>
      <c r="E463" s="36">
        <v>45034</v>
      </c>
      <c r="F463" s="36">
        <v>45582</v>
      </c>
      <c r="G463" s="64" t="s">
        <v>6</v>
      </c>
      <c r="H463" s="43" t="s">
        <v>3842</v>
      </c>
      <c r="I463" s="35" t="s">
        <v>2492</v>
      </c>
      <c r="J463" s="43" t="s">
        <v>3884</v>
      </c>
      <c r="K463" s="43" t="s">
        <v>3555</v>
      </c>
      <c r="L463" s="30">
        <v>20000</v>
      </c>
      <c r="M463" s="30">
        <v>0</v>
      </c>
      <c r="N463" s="30">
        <v>10000</v>
      </c>
      <c r="O463" s="30">
        <f t="shared" si="8"/>
        <v>10000</v>
      </c>
      <c r="P463" s="44" t="s">
        <v>2874</v>
      </c>
    </row>
    <row r="464" spans="2:16" ht="29" x14ac:dyDescent="0.35">
      <c r="B464" s="35" t="s">
        <v>3348</v>
      </c>
      <c r="C464" s="80" t="s">
        <v>3909</v>
      </c>
      <c r="D464" s="36">
        <v>44781</v>
      </c>
      <c r="E464" s="36">
        <v>45034</v>
      </c>
      <c r="F464" s="36">
        <v>45399</v>
      </c>
      <c r="G464" s="65" t="s">
        <v>6</v>
      </c>
      <c r="H464" s="43" t="s">
        <v>3910</v>
      </c>
      <c r="I464" s="35" t="s">
        <v>2531</v>
      </c>
      <c r="J464" s="43"/>
      <c r="K464" s="43" t="s">
        <v>3555</v>
      </c>
      <c r="L464" s="30">
        <v>1813.33</v>
      </c>
      <c r="M464" s="30">
        <v>0</v>
      </c>
      <c r="N464" s="30">
        <v>0</v>
      </c>
      <c r="O464" s="30">
        <f t="shared" si="8"/>
        <v>1813.33</v>
      </c>
      <c r="P464" s="44" t="s">
        <v>2874</v>
      </c>
    </row>
    <row r="465" spans="2:16" ht="43.5" x14ac:dyDescent="0.35">
      <c r="B465" s="39" t="s">
        <v>3433</v>
      </c>
      <c r="C465" s="80" t="s">
        <v>3692</v>
      </c>
      <c r="D465" s="40">
        <v>44910</v>
      </c>
      <c r="E465" s="36">
        <v>45037</v>
      </c>
      <c r="F465" s="36">
        <v>46863</v>
      </c>
      <c r="G465" s="64" t="s">
        <v>6</v>
      </c>
      <c r="H465" s="38" t="s">
        <v>3438</v>
      </c>
      <c r="I465" s="35" t="s">
        <v>2643</v>
      </c>
      <c r="J465" s="38" t="s">
        <v>4598</v>
      </c>
      <c r="K465" s="38" t="s">
        <v>2586</v>
      </c>
      <c r="L465" s="45">
        <v>44000</v>
      </c>
      <c r="M465" s="30">
        <v>0</v>
      </c>
      <c r="N465" s="30">
        <v>0</v>
      </c>
      <c r="O465" s="30">
        <f t="shared" si="8"/>
        <v>44000</v>
      </c>
      <c r="P465" s="44">
        <v>4.22</v>
      </c>
    </row>
    <row r="466" spans="2:16" ht="43.5" x14ac:dyDescent="0.35">
      <c r="B466" s="35" t="s">
        <v>726</v>
      </c>
      <c r="C466" s="80" t="s">
        <v>3896</v>
      </c>
      <c r="D466" s="36">
        <v>43777</v>
      </c>
      <c r="E466" s="36">
        <v>45042</v>
      </c>
      <c r="F466" s="36">
        <v>45151</v>
      </c>
      <c r="G466" s="63" t="s">
        <v>5683</v>
      </c>
      <c r="H466" s="38" t="s">
        <v>647</v>
      </c>
      <c r="I466" s="35" t="s">
        <v>2479</v>
      </c>
      <c r="J466" s="43" t="s">
        <v>4573</v>
      </c>
      <c r="K466" s="43" t="s">
        <v>2589</v>
      </c>
      <c r="L466" s="49">
        <v>250000</v>
      </c>
      <c r="M466" s="49">
        <v>250000</v>
      </c>
      <c r="N466" s="49">
        <v>0</v>
      </c>
      <c r="O466" s="30">
        <f t="shared" si="8"/>
        <v>0</v>
      </c>
      <c r="P466" s="26" t="s">
        <v>6521</v>
      </c>
    </row>
    <row r="467" spans="2:16" ht="43.5" x14ac:dyDescent="0.35">
      <c r="B467" s="35" t="s">
        <v>725</v>
      </c>
      <c r="C467" s="80" t="s">
        <v>3897</v>
      </c>
      <c r="D467" s="36">
        <v>43777</v>
      </c>
      <c r="E467" s="36">
        <v>45042</v>
      </c>
      <c r="F467" s="36">
        <v>45151</v>
      </c>
      <c r="G467" s="69" t="s">
        <v>5683</v>
      </c>
      <c r="H467" s="38" t="s">
        <v>647</v>
      </c>
      <c r="I467" s="35" t="s">
        <v>2479</v>
      </c>
      <c r="J467" s="38" t="s">
        <v>4573</v>
      </c>
      <c r="K467" s="38" t="s">
        <v>2587</v>
      </c>
      <c r="L467" s="49">
        <v>570000</v>
      </c>
      <c r="M467" s="49">
        <v>17000</v>
      </c>
      <c r="N467" s="49">
        <f>196000+172000+185000</f>
        <v>553000</v>
      </c>
      <c r="O467" s="30">
        <f t="shared" si="8"/>
        <v>0</v>
      </c>
      <c r="P467" s="93" t="s">
        <v>6347</v>
      </c>
    </row>
    <row r="468" spans="2:16" ht="29" x14ac:dyDescent="0.35">
      <c r="B468" s="35" t="s">
        <v>3348</v>
      </c>
      <c r="C468" s="80" t="s">
        <v>3914</v>
      </c>
      <c r="D468" s="36">
        <v>44781</v>
      </c>
      <c r="E468" s="36">
        <v>45042</v>
      </c>
      <c r="F468" s="36">
        <v>45407</v>
      </c>
      <c r="G468" s="64" t="s">
        <v>6</v>
      </c>
      <c r="H468" s="43" t="s">
        <v>4098</v>
      </c>
      <c r="I468" s="35" t="s">
        <v>3334</v>
      </c>
      <c r="J468" s="43"/>
      <c r="K468" s="43" t="s">
        <v>3555</v>
      </c>
      <c r="L468" s="30">
        <v>10000</v>
      </c>
      <c r="M468" s="30">
        <v>0</v>
      </c>
      <c r="N468" s="30">
        <v>0</v>
      </c>
      <c r="O468" s="30">
        <f t="shared" si="8"/>
        <v>10000</v>
      </c>
      <c r="P468" s="43" t="s">
        <v>2874</v>
      </c>
    </row>
    <row r="469" spans="2:16" ht="29" x14ac:dyDescent="0.35">
      <c r="B469" s="35" t="s">
        <v>3348</v>
      </c>
      <c r="C469" s="80" t="s">
        <v>3915</v>
      </c>
      <c r="D469" s="36">
        <v>44781</v>
      </c>
      <c r="E469" s="36">
        <v>45042</v>
      </c>
      <c r="F469" s="36">
        <v>45407</v>
      </c>
      <c r="G469" s="65" t="s">
        <v>6</v>
      </c>
      <c r="H469" s="43" t="s">
        <v>3916</v>
      </c>
      <c r="I469" s="35" t="s">
        <v>2519</v>
      </c>
      <c r="J469" s="43"/>
      <c r="K469" s="43" t="s">
        <v>3555</v>
      </c>
      <c r="L469" s="30">
        <v>2641.2</v>
      </c>
      <c r="M469" s="30">
        <v>0</v>
      </c>
      <c r="N469" s="30">
        <v>0</v>
      </c>
      <c r="O469" s="30">
        <f t="shared" si="8"/>
        <v>2641.2</v>
      </c>
      <c r="P469" s="43" t="s">
        <v>2874</v>
      </c>
    </row>
    <row r="470" spans="2:16" x14ac:dyDescent="0.35">
      <c r="B470" s="35" t="s">
        <v>3405</v>
      </c>
      <c r="C470" s="80" t="s">
        <v>3913</v>
      </c>
      <c r="D470" s="36">
        <v>44781</v>
      </c>
      <c r="E470" s="36">
        <v>45043</v>
      </c>
      <c r="F470" s="36">
        <v>45107</v>
      </c>
      <c r="G470" s="64" t="s">
        <v>6</v>
      </c>
      <c r="H470" s="43" t="s">
        <v>45</v>
      </c>
      <c r="I470" s="35" t="s">
        <v>2476</v>
      </c>
      <c r="J470" s="43" t="s">
        <v>4653</v>
      </c>
      <c r="K470" s="43" t="s">
        <v>3184</v>
      </c>
      <c r="L470" s="30">
        <v>15000</v>
      </c>
      <c r="M470" s="30">
        <v>0</v>
      </c>
      <c r="N470" s="30">
        <v>8000</v>
      </c>
      <c r="O470" s="30">
        <f t="shared" si="8"/>
        <v>7000</v>
      </c>
      <c r="P470" s="44" t="s">
        <v>2874</v>
      </c>
    </row>
    <row r="471" spans="2:16" ht="29" x14ac:dyDescent="0.35">
      <c r="B471" s="35" t="s">
        <v>3350</v>
      </c>
      <c r="C471" s="80" t="s">
        <v>3694</v>
      </c>
      <c r="D471" s="36">
        <v>44781</v>
      </c>
      <c r="E471" s="36">
        <v>45049</v>
      </c>
      <c r="F471" s="36">
        <v>46144</v>
      </c>
      <c r="G471" s="64" t="s">
        <v>6</v>
      </c>
      <c r="H471" s="43" t="s">
        <v>3695</v>
      </c>
      <c r="I471" s="35" t="s">
        <v>2529</v>
      </c>
      <c r="J471" s="38" t="s">
        <v>3710</v>
      </c>
      <c r="K471" s="38" t="s">
        <v>2573</v>
      </c>
      <c r="L471" s="30">
        <v>1679.36</v>
      </c>
      <c r="M471" s="30">
        <v>0</v>
      </c>
      <c r="N471" s="30">
        <v>1506.15</v>
      </c>
      <c r="O471" s="30">
        <f t="shared" si="8"/>
        <v>173.20999999999981</v>
      </c>
      <c r="P471" s="44" t="s">
        <v>2874</v>
      </c>
    </row>
    <row r="472" spans="2:16" ht="29" x14ac:dyDescent="0.35">
      <c r="B472" s="39" t="s">
        <v>3425</v>
      </c>
      <c r="C472" s="80" t="s">
        <v>3696</v>
      </c>
      <c r="D472" s="40">
        <v>44910</v>
      </c>
      <c r="E472" s="36">
        <v>45055</v>
      </c>
      <c r="F472" s="36">
        <v>46881</v>
      </c>
      <c r="G472" s="64" t="s">
        <v>6</v>
      </c>
      <c r="H472" s="38" t="s">
        <v>3430</v>
      </c>
      <c r="I472" s="35" t="s">
        <v>2917</v>
      </c>
      <c r="J472" s="38" t="s">
        <v>3475</v>
      </c>
      <c r="K472" s="38" t="s">
        <v>2583</v>
      </c>
      <c r="L472" s="45">
        <v>54000</v>
      </c>
      <c r="M472" s="30">
        <v>0</v>
      </c>
      <c r="N472" s="30">
        <v>0</v>
      </c>
      <c r="O472" s="30">
        <f t="shared" si="8"/>
        <v>54000</v>
      </c>
      <c r="P472" s="52">
        <v>1.84</v>
      </c>
    </row>
    <row r="473" spans="2:16" ht="29" x14ac:dyDescent="0.35">
      <c r="B473" s="39" t="s">
        <v>3426</v>
      </c>
      <c r="C473" s="80" t="s">
        <v>3697</v>
      </c>
      <c r="D473" s="40">
        <v>44910</v>
      </c>
      <c r="E473" s="36">
        <v>45055</v>
      </c>
      <c r="F473" s="36">
        <v>46881</v>
      </c>
      <c r="G473" s="64" t="s">
        <v>6</v>
      </c>
      <c r="H473" s="38" t="s">
        <v>3430</v>
      </c>
      <c r="I473" s="35" t="s">
        <v>2917</v>
      </c>
      <c r="J473" s="38" t="s">
        <v>3475</v>
      </c>
      <c r="K473" s="38" t="s">
        <v>2586</v>
      </c>
      <c r="L473" s="45">
        <v>123000</v>
      </c>
      <c r="M473" s="30">
        <v>0</v>
      </c>
      <c r="N473" s="30">
        <v>0</v>
      </c>
      <c r="O473" s="30">
        <f t="shared" si="8"/>
        <v>123000</v>
      </c>
      <c r="P473" s="52">
        <v>1.84</v>
      </c>
    </row>
    <row r="474" spans="2:16" ht="29" x14ac:dyDescent="0.35">
      <c r="B474" s="39" t="s">
        <v>3427</v>
      </c>
      <c r="C474" s="80" t="s">
        <v>3698</v>
      </c>
      <c r="D474" s="40">
        <v>44910</v>
      </c>
      <c r="E474" s="36">
        <v>45055</v>
      </c>
      <c r="F474" s="36">
        <v>46881</v>
      </c>
      <c r="G474" s="64" t="s">
        <v>6</v>
      </c>
      <c r="H474" s="38" t="s">
        <v>3430</v>
      </c>
      <c r="I474" s="35" t="s">
        <v>2917</v>
      </c>
      <c r="J474" s="38" t="s">
        <v>3475</v>
      </c>
      <c r="K474" s="38" t="s">
        <v>2585</v>
      </c>
      <c r="L474" s="45">
        <v>300000</v>
      </c>
      <c r="M474" s="30">
        <v>0</v>
      </c>
      <c r="N474" s="30">
        <v>0</v>
      </c>
      <c r="O474" s="30">
        <f t="shared" si="8"/>
        <v>300000</v>
      </c>
      <c r="P474" s="44">
        <v>1.84</v>
      </c>
    </row>
    <row r="475" spans="2:16" ht="101.5" x14ac:dyDescent="0.35">
      <c r="B475" s="39" t="s">
        <v>3361</v>
      </c>
      <c r="C475" s="80" t="s">
        <v>3699</v>
      </c>
      <c r="D475" s="40">
        <v>44887</v>
      </c>
      <c r="E475" s="36">
        <v>45062</v>
      </c>
      <c r="F475" s="36">
        <v>46888</v>
      </c>
      <c r="G475" s="64" t="s">
        <v>6</v>
      </c>
      <c r="H475" s="38" t="s">
        <v>3369</v>
      </c>
      <c r="I475" s="35" t="s">
        <v>2484</v>
      </c>
      <c r="J475" s="38" t="s">
        <v>4592</v>
      </c>
      <c r="K475" s="38" t="s">
        <v>2583</v>
      </c>
      <c r="L475" s="45">
        <v>155000</v>
      </c>
      <c r="M475" s="30">
        <v>0</v>
      </c>
      <c r="N475" s="30">
        <v>0</v>
      </c>
      <c r="O475" s="30">
        <f t="shared" si="8"/>
        <v>155000</v>
      </c>
      <c r="P475" s="44">
        <v>6.37</v>
      </c>
    </row>
    <row r="476" spans="2:16" x14ac:dyDescent="0.35">
      <c r="B476" s="39" t="s">
        <v>3436</v>
      </c>
      <c r="C476" s="80" t="s">
        <v>3700</v>
      </c>
      <c r="D476" s="40">
        <v>44910</v>
      </c>
      <c r="E476" s="36">
        <v>45065</v>
      </c>
      <c r="F476" s="36">
        <v>46157</v>
      </c>
      <c r="G476" s="64" t="s">
        <v>6</v>
      </c>
      <c r="H476" s="38" t="s">
        <v>3440</v>
      </c>
      <c r="I476" s="35" t="s">
        <v>2480</v>
      </c>
      <c r="J476" s="38" t="s">
        <v>4599</v>
      </c>
      <c r="K476" s="38" t="s">
        <v>2583</v>
      </c>
      <c r="L476" s="45">
        <v>9000</v>
      </c>
      <c r="M476" s="30">
        <v>0</v>
      </c>
      <c r="N476" s="30">
        <v>0</v>
      </c>
      <c r="O476" s="30">
        <f t="shared" si="8"/>
        <v>9000</v>
      </c>
      <c r="P476" s="52">
        <v>27.82</v>
      </c>
    </row>
    <row r="477" spans="2:16" x14ac:dyDescent="0.35">
      <c r="B477" s="39" t="s">
        <v>3437</v>
      </c>
      <c r="C477" s="80" t="s">
        <v>3701</v>
      </c>
      <c r="D477" s="40">
        <v>44910</v>
      </c>
      <c r="E477" s="36">
        <v>45065</v>
      </c>
      <c r="F477" s="36">
        <v>46891</v>
      </c>
      <c r="G477" s="64" t="s">
        <v>6</v>
      </c>
      <c r="H477" s="38" t="s">
        <v>3440</v>
      </c>
      <c r="I477" s="35" t="s">
        <v>2480</v>
      </c>
      <c r="J477" s="38" t="s">
        <v>4599</v>
      </c>
      <c r="K477" s="38" t="s">
        <v>2586</v>
      </c>
      <c r="L477" s="45">
        <v>53000</v>
      </c>
      <c r="M477" s="30">
        <v>0</v>
      </c>
      <c r="N477" s="30">
        <v>46289.26</v>
      </c>
      <c r="O477" s="30">
        <f t="shared" si="8"/>
        <v>6710.739999999998</v>
      </c>
      <c r="P477" s="52">
        <v>27.82</v>
      </c>
    </row>
    <row r="478" spans="2:16" ht="29" x14ac:dyDescent="0.35">
      <c r="B478" s="35" t="s">
        <v>3348</v>
      </c>
      <c r="C478" s="80" t="s">
        <v>3726</v>
      </c>
      <c r="D478" s="36">
        <v>44781</v>
      </c>
      <c r="E478" s="36">
        <v>45072</v>
      </c>
      <c r="F478" s="36">
        <v>45802</v>
      </c>
      <c r="G478" s="64" t="s">
        <v>6</v>
      </c>
      <c r="H478" s="43" t="s">
        <v>3727</v>
      </c>
      <c r="I478" s="35" t="s">
        <v>2485</v>
      </c>
      <c r="J478" s="43"/>
      <c r="K478" s="43" t="s">
        <v>3555</v>
      </c>
      <c r="L478" s="30">
        <v>50000</v>
      </c>
      <c r="M478" s="30">
        <v>0</v>
      </c>
      <c r="N478" s="30">
        <v>0</v>
      </c>
      <c r="O478" s="30">
        <f t="shared" si="8"/>
        <v>50000</v>
      </c>
      <c r="P478" s="52" t="s">
        <v>2874</v>
      </c>
    </row>
    <row r="479" spans="2:16" ht="29" x14ac:dyDescent="0.35">
      <c r="B479" s="35" t="s">
        <v>3348</v>
      </c>
      <c r="C479" s="80" t="s">
        <v>3728</v>
      </c>
      <c r="D479" s="36">
        <v>44781</v>
      </c>
      <c r="E479" s="36">
        <v>45072</v>
      </c>
      <c r="F479" s="36">
        <v>45802</v>
      </c>
      <c r="G479" s="64" t="s">
        <v>6</v>
      </c>
      <c r="H479" s="43" t="s">
        <v>3729</v>
      </c>
      <c r="I479" s="35" t="s">
        <v>2496</v>
      </c>
      <c r="J479" s="43"/>
      <c r="K479" s="43" t="s">
        <v>3555</v>
      </c>
      <c r="L479" s="30">
        <v>50000</v>
      </c>
      <c r="M479" s="30">
        <v>0</v>
      </c>
      <c r="N479" s="30">
        <v>35000</v>
      </c>
      <c r="O479" s="30">
        <f t="shared" si="8"/>
        <v>15000</v>
      </c>
      <c r="P479" s="52" t="s">
        <v>2874</v>
      </c>
    </row>
    <row r="480" spans="2:16" ht="29" x14ac:dyDescent="0.35">
      <c r="B480" s="35" t="s">
        <v>3348</v>
      </c>
      <c r="C480" s="80" t="s">
        <v>3730</v>
      </c>
      <c r="D480" s="36">
        <v>44781</v>
      </c>
      <c r="E480" s="36">
        <v>45072</v>
      </c>
      <c r="F480" s="36">
        <v>45802</v>
      </c>
      <c r="G480" s="64" t="s">
        <v>6</v>
      </c>
      <c r="H480" s="43" t="s">
        <v>3731</v>
      </c>
      <c r="I480" s="35" t="s">
        <v>3333</v>
      </c>
      <c r="J480" s="43"/>
      <c r="K480" s="43" t="s">
        <v>3555</v>
      </c>
      <c r="L480" s="30">
        <v>50000</v>
      </c>
      <c r="M480" s="30">
        <v>0</v>
      </c>
      <c r="N480" s="30">
        <v>0</v>
      </c>
      <c r="O480" s="30">
        <f t="shared" si="8"/>
        <v>50000</v>
      </c>
      <c r="P480" s="52" t="s">
        <v>2874</v>
      </c>
    </row>
    <row r="481" spans="2:16" ht="29" x14ac:dyDescent="0.35">
      <c r="B481" s="35" t="s">
        <v>3348</v>
      </c>
      <c r="C481" s="80" t="s">
        <v>3732</v>
      </c>
      <c r="D481" s="36">
        <v>44781</v>
      </c>
      <c r="E481" s="36">
        <v>45072</v>
      </c>
      <c r="F481" s="36">
        <v>45802</v>
      </c>
      <c r="G481" s="64" t="s">
        <v>6</v>
      </c>
      <c r="H481" s="43" t="s">
        <v>3733</v>
      </c>
      <c r="I481" s="35" t="s">
        <v>2534</v>
      </c>
      <c r="J481" s="43" t="s">
        <v>5806</v>
      </c>
      <c r="K481" s="43" t="s">
        <v>3555</v>
      </c>
      <c r="L481" s="30">
        <v>50000</v>
      </c>
      <c r="M481" s="30"/>
      <c r="N481" s="30">
        <f>9010+4456.18+4928.8+900</f>
        <v>19294.98</v>
      </c>
      <c r="O481" s="30">
        <f t="shared" si="8"/>
        <v>30705.02</v>
      </c>
      <c r="P481" s="52" t="s">
        <v>2874</v>
      </c>
    </row>
    <row r="482" spans="2:16" ht="29" x14ac:dyDescent="0.35">
      <c r="B482" s="35" t="s">
        <v>3348</v>
      </c>
      <c r="C482" s="80" t="s">
        <v>3734</v>
      </c>
      <c r="D482" s="36">
        <v>44781</v>
      </c>
      <c r="E482" s="36">
        <v>45072</v>
      </c>
      <c r="F482" s="36">
        <v>45802</v>
      </c>
      <c r="G482" s="64" t="s">
        <v>6</v>
      </c>
      <c r="H482" s="43" t="s">
        <v>3735</v>
      </c>
      <c r="I482" s="35" t="s">
        <v>2492</v>
      </c>
      <c r="J482" s="43"/>
      <c r="K482" s="43" t="s">
        <v>3555</v>
      </c>
      <c r="L482" s="30">
        <v>50000</v>
      </c>
      <c r="M482" s="30">
        <v>0</v>
      </c>
      <c r="N482" s="30">
        <v>49900</v>
      </c>
      <c r="O482" s="30">
        <f t="shared" si="8"/>
        <v>100</v>
      </c>
      <c r="P482" s="52" t="s">
        <v>2874</v>
      </c>
    </row>
    <row r="483" spans="2:16" ht="29" x14ac:dyDescent="0.35">
      <c r="B483" s="35" t="s">
        <v>3348</v>
      </c>
      <c r="C483" s="80" t="s">
        <v>3736</v>
      </c>
      <c r="D483" s="36">
        <v>44781</v>
      </c>
      <c r="E483" s="36">
        <v>45072</v>
      </c>
      <c r="F483" s="36">
        <v>45802</v>
      </c>
      <c r="G483" s="64" t="s">
        <v>6</v>
      </c>
      <c r="H483" s="43" t="s">
        <v>3737</v>
      </c>
      <c r="I483" s="35" t="s">
        <v>2484</v>
      </c>
      <c r="J483" s="43" t="s">
        <v>5806</v>
      </c>
      <c r="K483" s="43" t="s">
        <v>3555</v>
      </c>
      <c r="L483" s="30">
        <v>50000</v>
      </c>
      <c r="M483" s="30">
        <v>0</v>
      </c>
      <c r="N483" s="30">
        <f>4208+5707+16890.9+4151.38+7275.1</f>
        <v>38232.380000000005</v>
      </c>
      <c r="O483" s="30">
        <f t="shared" si="8"/>
        <v>11767.619999999995</v>
      </c>
      <c r="P483" s="52" t="s">
        <v>2874</v>
      </c>
    </row>
    <row r="484" spans="2:16" ht="29" x14ac:dyDescent="0.35">
      <c r="B484" s="35" t="s">
        <v>3348</v>
      </c>
      <c r="C484" s="80" t="s">
        <v>3738</v>
      </c>
      <c r="D484" s="36">
        <v>44781</v>
      </c>
      <c r="E484" s="36">
        <v>45072</v>
      </c>
      <c r="F484" s="36">
        <v>45802</v>
      </c>
      <c r="G484" s="64" t="s">
        <v>6</v>
      </c>
      <c r="H484" s="43" t="s">
        <v>3739</v>
      </c>
      <c r="I484" s="35" t="s">
        <v>2480</v>
      </c>
      <c r="J484" s="43" t="s">
        <v>3804</v>
      </c>
      <c r="K484" s="43" t="s">
        <v>3555</v>
      </c>
      <c r="L484" s="30">
        <v>50000</v>
      </c>
      <c r="M484" s="30">
        <v>0</v>
      </c>
      <c r="N484" s="30">
        <f>11655+7200+9585+7200+8415</f>
        <v>44055</v>
      </c>
      <c r="O484" s="30">
        <f t="shared" si="8"/>
        <v>5945</v>
      </c>
      <c r="P484" s="52" t="s">
        <v>2874</v>
      </c>
    </row>
    <row r="485" spans="2:16" ht="29" x14ac:dyDescent="0.35">
      <c r="B485" s="35" t="s">
        <v>3348</v>
      </c>
      <c r="C485" s="80" t="s">
        <v>3740</v>
      </c>
      <c r="D485" s="36">
        <v>44781</v>
      </c>
      <c r="E485" s="36">
        <v>45072</v>
      </c>
      <c r="F485" s="36">
        <v>45802</v>
      </c>
      <c r="G485" s="64" t="s">
        <v>6</v>
      </c>
      <c r="H485" s="43" t="s">
        <v>3741</v>
      </c>
      <c r="I485" s="35" t="s">
        <v>2474</v>
      </c>
      <c r="J485" s="43" t="s">
        <v>5806</v>
      </c>
      <c r="K485" s="43" t="s">
        <v>3555</v>
      </c>
      <c r="L485" s="30">
        <v>50000</v>
      </c>
      <c r="M485" s="30">
        <v>0</v>
      </c>
      <c r="N485" s="30">
        <f>7799.96+2599.48+3534.88+1719+3000+2400.41+7705.95+3000+13402+4145.98</f>
        <v>49307.66</v>
      </c>
      <c r="O485" s="30">
        <f t="shared" si="8"/>
        <v>692.33999999999651</v>
      </c>
      <c r="P485" s="52" t="s">
        <v>2874</v>
      </c>
    </row>
    <row r="486" spans="2:16" ht="29" x14ac:dyDescent="0.35">
      <c r="B486" s="35" t="s">
        <v>3348</v>
      </c>
      <c r="C486" s="80" t="s">
        <v>3742</v>
      </c>
      <c r="D486" s="36">
        <v>44781</v>
      </c>
      <c r="E486" s="36">
        <v>45072</v>
      </c>
      <c r="F486" s="36">
        <v>45802</v>
      </c>
      <c r="G486" s="64" t="s">
        <v>6</v>
      </c>
      <c r="H486" s="43" t="s">
        <v>3805</v>
      </c>
      <c r="I486" s="35" t="s">
        <v>2476</v>
      </c>
      <c r="J486" s="43" t="s">
        <v>4636</v>
      </c>
      <c r="K486" s="43" t="s">
        <v>3555</v>
      </c>
      <c r="L486" s="30">
        <v>40000</v>
      </c>
      <c r="M486" s="30">
        <v>0</v>
      </c>
      <c r="N486" s="30">
        <f>24918.98+3748.96+5840.01+4371.98</f>
        <v>38879.929999999993</v>
      </c>
      <c r="O486" s="30">
        <f t="shared" si="8"/>
        <v>1120.070000000007</v>
      </c>
      <c r="P486" s="52" t="s">
        <v>2874</v>
      </c>
    </row>
    <row r="487" spans="2:16" ht="29" x14ac:dyDescent="0.35">
      <c r="B487" s="35" t="s">
        <v>3348</v>
      </c>
      <c r="C487" s="80" t="s">
        <v>3743</v>
      </c>
      <c r="D487" s="36">
        <v>44781</v>
      </c>
      <c r="E487" s="36">
        <v>45072</v>
      </c>
      <c r="F487" s="36">
        <v>45802</v>
      </c>
      <c r="G487" s="64" t="s">
        <v>6</v>
      </c>
      <c r="H487" s="43" t="s">
        <v>3744</v>
      </c>
      <c r="I487" s="35" t="s">
        <v>2642</v>
      </c>
      <c r="J487" s="43" t="s">
        <v>5806</v>
      </c>
      <c r="K487" s="43" t="s">
        <v>3555</v>
      </c>
      <c r="L487" s="30">
        <v>20000</v>
      </c>
      <c r="M487" s="30">
        <v>0</v>
      </c>
      <c r="N487" s="30">
        <f>1834.71+8467.46+3783+2054.34+617.26</f>
        <v>16756.769999999997</v>
      </c>
      <c r="O487" s="30">
        <f t="shared" si="8"/>
        <v>3243.2300000000032</v>
      </c>
      <c r="P487" s="52" t="s">
        <v>2874</v>
      </c>
    </row>
    <row r="488" spans="2:16" ht="29" x14ac:dyDescent="0.35">
      <c r="B488" s="35" t="s">
        <v>3348</v>
      </c>
      <c r="C488" s="80" t="s">
        <v>3745</v>
      </c>
      <c r="D488" s="36">
        <v>44781</v>
      </c>
      <c r="E488" s="36">
        <v>45072</v>
      </c>
      <c r="F488" s="36">
        <v>45802</v>
      </c>
      <c r="G488" s="64" t="s">
        <v>6</v>
      </c>
      <c r="H488" s="43" t="s">
        <v>3746</v>
      </c>
      <c r="I488" s="35" t="s">
        <v>2490</v>
      </c>
      <c r="J488" s="43" t="s">
        <v>3804</v>
      </c>
      <c r="K488" s="43" t="s">
        <v>3555</v>
      </c>
      <c r="L488" s="30">
        <v>50000</v>
      </c>
      <c r="M488" s="30">
        <v>0</v>
      </c>
      <c r="N488" s="30">
        <f>6600+10421+1330+6600+8800</f>
        <v>33751</v>
      </c>
      <c r="O488" s="30">
        <f t="shared" si="8"/>
        <v>16249</v>
      </c>
      <c r="P488" s="52" t="s">
        <v>2874</v>
      </c>
    </row>
    <row r="489" spans="2:16" ht="29" x14ac:dyDescent="0.35">
      <c r="B489" s="35" t="s">
        <v>3348</v>
      </c>
      <c r="C489" s="80" t="s">
        <v>3747</v>
      </c>
      <c r="D489" s="36">
        <v>44781</v>
      </c>
      <c r="E489" s="36">
        <v>45072</v>
      </c>
      <c r="F489" s="36">
        <v>45802</v>
      </c>
      <c r="G489" s="64" t="s">
        <v>6</v>
      </c>
      <c r="H489" s="43" t="s">
        <v>3748</v>
      </c>
      <c r="I489" s="35" t="s">
        <v>2494</v>
      </c>
      <c r="J489" s="43"/>
      <c r="K489" s="43" t="s">
        <v>3555</v>
      </c>
      <c r="L489" s="30">
        <v>50000</v>
      </c>
      <c r="M489" s="30">
        <v>0</v>
      </c>
      <c r="N489" s="30">
        <v>0</v>
      </c>
      <c r="O489" s="30">
        <f t="shared" si="8"/>
        <v>50000</v>
      </c>
      <c r="P489" s="52" t="s">
        <v>2874</v>
      </c>
    </row>
    <row r="490" spans="2:16" ht="29" x14ac:dyDescent="0.35">
      <c r="B490" s="35" t="s">
        <v>3348</v>
      </c>
      <c r="C490" s="80" t="s">
        <v>3749</v>
      </c>
      <c r="D490" s="36">
        <v>44781</v>
      </c>
      <c r="E490" s="36">
        <v>45072</v>
      </c>
      <c r="F490" s="36">
        <v>45802</v>
      </c>
      <c r="G490" s="64" t="s">
        <v>6</v>
      </c>
      <c r="H490" s="43" t="s">
        <v>3750</v>
      </c>
      <c r="I490" s="35" t="s">
        <v>2499</v>
      </c>
      <c r="J490" s="43" t="s">
        <v>2551</v>
      </c>
      <c r="K490" s="43" t="s">
        <v>3555</v>
      </c>
      <c r="L490" s="30">
        <v>50000</v>
      </c>
      <c r="M490" s="30">
        <v>0</v>
      </c>
      <c r="N490" s="30">
        <v>46770</v>
      </c>
      <c r="O490" s="30">
        <f t="shared" si="8"/>
        <v>3230</v>
      </c>
      <c r="P490" s="52" t="s">
        <v>2874</v>
      </c>
    </row>
    <row r="491" spans="2:16" ht="29" x14ac:dyDescent="0.35">
      <c r="B491" s="35" t="s">
        <v>3348</v>
      </c>
      <c r="C491" s="80" t="s">
        <v>3751</v>
      </c>
      <c r="D491" s="36">
        <v>44781</v>
      </c>
      <c r="E491" s="36">
        <v>45072</v>
      </c>
      <c r="F491" s="36">
        <v>45802</v>
      </c>
      <c r="G491" s="64" t="s">
        <v>6</v>
      </c>
      <c r="H491" s="43" t="s">
        <v>3752</v>
      </c>
      <c r="I491" s="35" t="s">
        <v>2492</v>
      </c>
      <c r="J491" s="43"/>
      <c r="K491" s="43" t="s">
        <v>3555</v>
      </c>
      <c r="L491" s="30">
        <v>50000</v>
      </c>
      <c r="M491" s="30">
        <v>0</v>
      </c>
      <c r="N491" s="30">
        <v>0</v>
      </c>
      <c r="O491" s="30">
        <f t="shared" si="8"/>
        <v>50000</v>
      </c>
      <c r="P491" s="52" t="s">
        <v>2874</v>
      </c>
    </row>
    <row r="492" spans="2:16" ht="29" x14ac:dyDescent="0.35">
      <c r="B492" s="35" t="s">
        <v>3348</v>
      </c>
      <c r="C492" s="80" t="s">
        <v>3753</v>
      </c>
      <c r="D492" s="36">
        <v>44781</v>
      </c>
      <c r="E492" s="36">
        <v>45072</v>
      </c>
      <c r="F492" s="36">
        <v>45802</v>
      </c>
      <c r="G492" s="64" t="s">
        <v>6</v>
      </c>
      <c r="H492" s="43" t="s">
        <v>3754</v>
      </c>
      <c r="I492" s="35" t="s">
        <v>2492</v>
      </c>
      <c r="J492" s="43"/>
      <c r="K492" s="43" t="s">
        <v>3555</v>
      </c>
      <c r="L492" s="30">
        <v>50000</v>
      </c>
      <c r="M492" s="30">
        <v>0</v>
      </c>
      <c r="N492" s="30">
        <f>22264.54+21240.87</f>
        <v>43505.41</v>
      </c>
      <c r="O492" s="30">
        <f t="shared" si="8"/>
        <v>6494.5899999999965</v>
      </c>
      <c r="P492" s="52" t="s">
        <v>2874</v>
      </c>
    </row>
    <row r="493" spans="2:16" ht="29" x14ac:dyDescent="0.35">
      <c r="B493" s="35" t="s">
        <v>3348</v>
      </c>
      <c r="C493" s="80" t="s">
        <v>3755</v>
      </c>
      <c r="D493" s="36">
        <v>44781</v>
      </c>
      <c r="E493" s="36">
        <v>45072</v>
      </c>
      <c r="F493" s="36">
        <v>45802</v>
      </c>
      <c r="G493" s="64" t="s">
        <v>6</v>
      </c>
      <c r="H493" s="43" t="s">
        <v>3756</v>
      </c>
      <c r="I493" s="35" t="s">
        <v>2480</v>
      </c>
      <c r="J493" s="43" t="s">
        <v>5806</v>
      </c>
      <c r="K493" s="43" t="s">
        <v>3555</v>
      </c>
      <c r="L493" s="30">
        <v>50000</v>
      </c>
      <c r="M493" s="30">
        <v>0</v>
      </c>
      <c r="N493" s="30">
        <f>17000+24663.4+8291.7</f>
        <v>49955.100000000006</v>
      </c>
      <c r="O493" s="30">
        <f t="shared" si="8"/>
        <v>44.899999999994179</v>
      </c>
      <c r="P493" s="44" t="s">
        <v>2874</v>
      </c>
    </row>
    <row r="494" spans="2:16" ht="29" x14ac:dyDescent="0.35">
      <c r="B494" s="35" t="s">
        <v>3348</v>
      </c>
      <c r="C494" s="80" t="s">
        <v>3757</v>
      </c>
      <c r="D494" s="36">
        <v>44781</v>
      </c>
      <c r="E494" s="36">
        <v>45072</v>
      </c>
      <c r="F494" s="36">
        <v>45802</v>
      </c>
      <c r="G494" s="64" t="s">
        <v>5683</v>
      </c>
      <c r="H494" s="43" t="s">
        <v>3758</v>
      </c>
      <c r="I494" s="35" t="s">
        <v>2480</v>
      </c>
      <c r="J494" s="43" t="s">
        <v>3804</v>
      </c>
      <c r="K494" s="43" t="s">
        <v>3555</v>
      </c>
      <c r="L494" s="30">
        <v>50000</v>
      </c>
      <c r="M494" s="30">
        <v>54.48</v>
      </c>
      <c r="N494" s="30">
        <f>38500+11445.52</f>
        <v>49945.520000000004</v>
      </c>
      <c r="O494" s="30">
        <f t="shared" si="8"/>
        <v>0</v>
      </c>
      <c r="P494" s="44" t="s">
        <v>6515</v>
      </c>
    </row>
    <row r="495" spans="2:16" ht="29" x14ac:dyDescent="0.35">
      <c r="B495" s="35" t="s">
        <v>3348</v>
      </c>
      <c r="C495" s="80" t="s">
        <v>3759</v>
      </c>
      <c r="D495" s="36">
        <v>44781</v>
      </c>
      <c r="E495" s="36">
        <v>45072</v>
      </c>
      <c r="F495" s="36">
        <v>45802</v>
      </c>
      <c r="G495" s="64" t="s">
        <v>6</v>
      </c>
      <c r="H495" s="43" t="s">
        <v>3760</v>
      </c>
      <c r="I495" s="35" t="s">
        <v>2517</v>
      </c>
      <c r="J495" s="43" t="s">
        <v>3806</v>
      </c>
      <c r="K495" s="43" t="s">
        <v>3555</v>
      </c>
      <c r="L495" s="30">
        <v>50000</v>
      </c>
      <c r="M495" s="30">
        <v>0</v>
      </c>
      <c r="N495" s="30">
        <f>39401.46</f>
        <v>39401.46</v>
      </c>
      <c r="O495" s="30">
        <f t="shared" si="8"/>
        <v>10598.54</v>
      </c>
      <c r="P495" s="44" t="s">
        <v>2874</v>
      </c>
    </row>
    <row r="496" spans="2:16" ht="29" x14ac:dyDescent="0.35">
      <c r="B496" s="35" t="s">
        <v>3348</v>
      </c>
      <c r="C496" s="80" t="s">
        <v>3761</v>
      </c>
      <c r="D496" s="36">
        <v>44781</v>
      </c>
      <c r="E496" s="36">
        <v>45072</v>
      </c>
      <c r="F496" s="36">
        <v>45802</v>
      </c>
      <c r="G496" s="64" t="s">
        <v>6</v>
      </c>
      <c r="H496" s="43" t="s">
        <v>3762</v>
      </c>
      <c r="I496" s="35" t="s">
        <v>2493</v>
      </c>
      <c r="J496" s="43" t="s">
        <v>3804</v>
      </c>
      <c r="K496" s="43" t="s">
        <v>3555</v>
      </c>
      <c r="L496" s="30">
        <v>30000</v>
      </c>
      <c r="M496" s="30">
        <v>0</v>
      </c>
      <c r="N496" s="30">
        <v>0</v>
      </c>
      <c r="O496" s="30">
        <f t="shared" si="8"/>
        <v>30000</v>
      </c>
      <c r="P496" s="44" t="s">
        <v>2874</v>
      </c>
    </row>
    <row r="497" spans="2:16" ht="29" x14ac:dyDescent="0.35">
      <c r="B497" s="35" t="s">
        <v>3348</v>
      </c>
      <c r="C497" s="80" t="s">
        <v>3763</v>
      </c>
      <c r="D497" s="36">
        <v>44781</v>
      </c>
      <c r="E497" s="36">
        <v>45072</v>
      </c>
      <c r="F497" s="36">
        <v>45802</v>
      </c>
      <c r="G497" s="64" t="s">
        <v>6</v>
      </c>
      <c r="H497" s="43" t="s">
        <v>3764</v>
      </c>
      <c r="I497" s="35" t="s">
        <v>2480</v>
      </c>
      <c r="J497" s="43" t="s">
        <v>4636</v>
      </c>
      <c r="K497" s="43" t="s">
        <v>3555</v>
      </c>
      <c r="L497" s="30">
        <v>50000</v>
      </c>
      <c r="M497" s="30">
        <v>0</v>
      </c>
      <c r="N497" s="30">
        <f>15750+3150+3150+9450+3150+3150+3150+2750+6300</f>
        <v>50000</v>
      </c>
      <c r="O497" s="30">
        <f t="shared" si="8"/>
        <v>0</v>
      </c>
      <c r="P497" s="44" t="s">
        <v>2874</v>
      </c>
    </row>
    <row r="498" spans="2:16" ht="29" x14ac:dyDescent="0.35">
      <c r="B498" s="35" t="s">
        <v>3348</v>
      </c>
      <c r="C498" s="80" t="s">
        <v>3765</v>
      </c>
      <c r="D498" s="36">
        <v>44781</v>
      </c>
      <c r="E498" s="36">
        <v>45072</v>
      </c>
      <c r="F498" s="36">
        <v>45802</v>
      </c>
      <c r="G498" s="64" t="s">
        <v>6</v>
      </c>
      <c r="H498" s="43" t="s">
        <v>3766</v>
      </c>
      <c r="I498" s="35" t="s">
        <v>2484</v>
      </c>
      <c r="J498" s="43" t="s">
        <v>4636</v>
      </c>
      <c r="K498" s="43" t="s">
        <v>3555</v>
      </c>
      <c r="L498" s="30">
        <v>40000</v>
      </c>
      <c r="M498" s="30">
        <v>0</v>
      </c>
      <c r="N498" s="30">
        <f>6913.96+2013.1+11280+6216.96+13575.98</f>
        <v>40000</v>
      </c>
      <c r="O498" s="30">
        <f t="shared" si="8"/>
        <v>0</v>
      </c>
      <c r="P498" s="44" t="s">
        <v>2874</v>
      </c>
    </row>
    <row r="499" spans="2:16" ht="29" x14ac:dyDescent="0.35">
      <c r="B499" s="35" t="s">
        <v>3348</v>
      </c>
      <c r="C499" s="80" t="s">
        <v>3767</v>
      </c>
      <c r="D499" s="36">
        <v>44781</v>
      </c>
      <c r="E499" s="36">
        <v>45072</v>
      </c>
      <c r="F499" s="36">
        <v>45802</v>
      </c>
      <c r="G499" s="64" t="s">
        <v>6</v>
      </c>
      <c r="H499" s="43" t="s">
        <v>3768</v>
      </c>
      <c r="I499" s="35" t="s">
        <v>2484</v>
      </c>
      <c r="J499" s="43" t="s">
        <v>3804</v>
      </c>
      <c r="K499" s="43" t="s">
        <v>3555</v>
      </c>
      <c r="L499" s="30">
        <v>35000</v>
      </c>
      <c r="M499" s="30">
        <v>0</v>
      </c>
      <c r="N499" s="30">
        <v>0</v>
      </c>
      <c r="O499" s="30">
        <f t="shared" si="8"/>
        <v>35000</v>
      </c>
      <c r="P499" s="44" t="s">
        <v>2874</v>
      </c>
    </row>
    <row r="500" spans="2:16" ht="29" x14ac:dyDescent="0.35">
      <c r="B500" s="35" t="s">
        <v>3348</v>
      </c>
      <c r="C500" s="80" t="s">
        <v>3769</v>
      </c>
      <c r="D500" s="36">
        <v>44781</v>
      </c>
      <c r="E500" s="36">
        <v>45072</v>
      </c>
      <c r="F500" s="36">
        <v>45802</v>
      </c>
      <c r="G500" s="64" t="s">
        <v>6</v>
      </c>
      <c r="H500" s="43" t="s">
        <v>3770</v>
      </c>
      <c r="I500" s="35" t="s">
        <v>2480</v>
      </c>
      <c r="J500" s="43" t="s">
        <v>4636</v>
      </c>
      <c r="K500" s="43" t="s">
        <v>3555</v>
      </c>
      <c r="L500" s="30">
        <v>30000</v>
      </c>
      <c r="M500" s="30">
        <v>0</v>
      </c>
      <c r="N500" s="30">
        <f>17231.41+12768.59</f>
        <v>30000</v>
      </c>
      <c r="O500" s="30">
        <f t="shared" si="8"/>
        <v>0</v>
      </c>
      <c r="P500" s="44" t="s">
        <v>2874</v>
      </c>
    </row>
    <row r="501" spans="2:16" ht="29" x14ac:dyDescent="0.35">
      <c r="B501" s="35" t="s">
        <v>3348</v>
      </c>
      <c r="C501" s="80" t="s">
        <v>3771</v>
      </c>
      <c r="D501" s="36">
        <v>44781</v>
      </c>
      <c r="E501" s="36">
        <v>45072</v>
      </c>
      <c r="F501" s="36">
        <v>45802</v>
      </c>
      <c r="G501" s="64" t="s">
        <v>6</v>
      </c>
      <c r="H501" s="43" t="s">
        <v>3772</v>
      </c>
      <c r="I501" s="35" t="s">
        <v>2505</v>
      </c>
      <c r="J501" s="43" t="s">
        <v>3804</v>
      </c>
      <c r="K501" s="43" t="s">
        <v>3555</v>
      </c>
      <c r="L501" s="30">
        <v>30000</v>
      </c>
      <c r="M501" s="30">
        <v>0</v>
      </c>
      <c r="N501" s="30">
        <v>0</v>
      </c>
      <c r="O501" s="30">
        <f t="shared" si="8"/>
        <v>30000</v>
      </c>
      <c r="P501" s="44" t="s">
        <v>2874</v>
      </c>
    </row>
    <row r="502" spans="2:16" ht="29" x14ac:dyDescent="0.35">
      <c r="B502" s="35" t="s">
        <v>3348</v>
      </c>
      <c r="C502" s="80" t="s">
        <v>3773</v>
      </c>
      <c r="D502" s="36">
        <v>44781</v>
      </c>
      <c r="E502" s="36">
        <v>45072</v>
      </c>
      <c r="F502" s="36">
        <v>45802</v>
      </c>
      <c r="G502" s="64" t="s">
        <v>6</v>
      </c>
      <c r="H502" s="43" t="s">
        <v>3774</v>
      </c>
      <c r="I502" s="35" t="s">
        <v>2521</v>
      </c>
      <c r="J502" s="43"/>
      <c r="K502" s="43" t="s">
        <v>3555</v>
      </c>
      <c r="L502" s="30">
        <v>7200</v>
      </c>
      <c r="M502" s="30">
        <v>0</v>
      </c>
      <c r="N502" s="30">
        <v>0</v>
      </c>
      <c r="O502" s="30">
        <f t="shared" si="8"/>
        <v>7200</v>
      </c>
      <c r="P502" s="44" t="s">
        <v>2874</v>
      </c>
    </row>
    <row r="503" spans="2:16" ht="29" x14ac:dyDescent="0.35">
      <c r="B503" s="35" t="s">
        <v>3348</v>
      </c>
      <c r="C503" s="80" t="s">
        <v>3775</v>
      </c>
      <c r="D503" s="36">
        <v>44781</v>
      </c>
      <c r="E503" s="36">
        <v>45072</v>
      </c>
      <c r="F503" s="36">
        <v>45802</v>
      </c>
      <c r="G503" s="64" t="s">
        <v>6</v>
      </c>
      <c r="H503" s="43" t="s">
        <v>3776</v>
      </c>
      <c r="I503" s="35" t="s">
        <v>2485</v>
      </c>
      <c r="J503" s="43" t="s">
        <v>2551</v>
      </c>
      <c r="K503" s="43" t="s">
        <v>3555</v>
      </c>
      <c r="L503" s="30">
        <v>50000</v>
      </c>
      <c r="M503" s="30">
        <v>0</v>
      </c>
      <c r="N503" s="30">
        <f>24400</f>
        <v>24400</v>
      </c>
      <c r="O503" s="30">
        <f t="shared" si="8"/>
        <v>25600</v>
      </c>
      <c r="P503" s="44" t="s">
        <v>2874</v>
      </c>
    </row>
    <row r="504" spans="2:16" ht="29" x14ac:dyDescent="0.35">
      <c r="B504" s="35" t="s">
        <v>3348</v>
      </c>
      <c r="C504" s="80" t="s">
        <v>3777</v>
      </c>
      <c r="D504" s="36">
        <v>44781</v>
      </c>
      <c r="E504" s="36">
        <v>45072</v>
      </c>
      <c r="F504" s="36">
        <v>45802</v>
      </c>
      <c r="G504" s="64" t="s">
        <v>6</v>
      </c>
      <c r="H504" s="43" t="s">
        <v>3778</v>
      </c>
      <c r="I504" s="35" t="s">
        <v>2484</v>
      </c>
      <c r="J504" s="43" t="s">
        <v>2551</v>
      </c>
      <c r="K504" s="43" t="s">
        <v>3555</v>
      </c>
      <c r="L504" s="30">
        <v>50000</v>
      </c>
      <c r="M504" s="30">
        <v>0</v>
      </c>
      <c r="N504" s="30">
        <f>3884.2+2648</f>
        <v>6532.2</v>
      </c>
      <c r="O504" s="30">
        <f t="shared" si="8"/>
        <v>43467.8</v>
      </c>
      <c r="P504" s="44" t="s">
        <v>2874</v>
      </c>
    </row>
    <row r="505" spans="2:16" ht="29" x14ac:dyDescent="0.35">
      <c r="B505" s="35" t="s">
        <v>3348</v>
      </c>
      <c r="C505" s="80" t="s">
        <v>3779</v>
      </c>
      <c r="D505" s="36">
        <v>44781</v>
      </c>
      <c r="E505" s="36">
        <v>45072</v>
      </c>
      <c r="F505" s="36">
        <v>45802</v>
      </c>
      <c r="G505" s="64" t="s">
        <v>6</v>
      </c>
      <c r="H505" s="43" t="s">
        <v>3780</v>
      </c>
      <c r="I505" s="35" t="s">
        <v>2496</v>
      </c>
      <c r="J505" s="43"/>
      <c r="K505" s="43" t="s">
        <v>3555</v>
      </c>
      <c r="L505" s="30">
        <v>50000</v>
      </c>
      <c r="M505" s="30">
        <v>0</v>
      </c>
      <c r="N505" s="30">
        <v>43794.99</v>
      </c>
      <c r="O505" s="30">
        <f t="shared" si="8"/>
        <v>6205.010000000002</v>
      </c>
      <c r="P505" s="44" t="s">
        <v>2874</v>
      </c>
    </row>
    <row r="506" spans="2:16" ht="29" x14ac:dyDescent="0.35">
      <c r="B506" s="35" t="s">
        <v>3348</v>
      </c>
      <c r="C506" s="80" t="s">
        <v>3781</v>
      </c>
      <c r="D506" s="36">
        <v>44781</v>
      </c>
      <c r="E506" s="36">
        <v>45072</v>
      </c>
      <c r="F506" s="36">
        <v>45802</v>
      </c>
      <c r="G506" s="64" t="s">
        <v>6</v>
      </c>
      <c r="H506" s="43" t="s">
        <v>3782</v>
      </c>
      <c r="I506" s="35" t="s">
        <v>2521</v>
      </c>
      <c r="J506" s="43" t="s">
        <v>4636</v>
      </c>
      <c r="K506" s="43" t="s">
        <v>3555</v>
      </c>
      <c r="L506" s="30">
        <v>50000</v>
      </c>
      <c r="M506" s="30">
        <v>0</v>
      </c>
      <c r="N506" s="30">
        <v>0</v>
      </c>
      <c r="O506" s="30">
        <f t="shared" si="8"/>
        <v>50000</v>
      </c>
      <c r="P506" s="44" t="s">
        <v>2874</v>
      </c>
    </row>
    <row r="507" spans="2:16" ht="29" x14ac:dyDescent="0.35">
      <c r="B507" s="35" t="s">
        <v>3348</v>
      </c>
      <c r="C507" s="80" t="s">
        <v>3783</v>
      </c>
      <c r="D507" s="36">
        <v>44781</v>
      </c>
      <c r="E507" s="36">
        <v>45072</v>
      </c>
      <c r="F507" s="36">
        <v>45802</v>
      </c>
      <c r="G507" s="64" t="s">
        <v>6</v>
      </c>
      <c r="H507" s="43" t="s">
        <v>3784</v>
      </c>
      <c r="I507" s="35" t="s">
        <v>3177</v>
      </c>
      <c r="J507" s="43" t="s">
        <v>3804</v>
      </c>
      <c r="K507" s="43" t="s">
        <v>3555</v>
      </c>
      <c r="L507" s="30">
        <v>35000</v>
      </c>
      <c r="M507" s="30">
        <v>0</v>
      </c>
      <c r="N507" s="30">
        <v>31390.13</v>
      </c>
      <c r="O507" s="30">
        <f t="shared" si="8"/>
        <v>3609.869999999999</v>
      </c>
      <c r="P507" s="44" t="s">
        <v>2874</v>
      </c>
    </row>
    <row r="508" spans="2:16" x14ac:dyDescent="0.35">
      <c r="B508" s="39" t="s">
        <v>3413</v>
      </c>
      <c r="C508" s="80" t="s">
        <v>3788</v>
      </c>
      <c r="D508" s="40">
        <v>44910</v>
      </c>
      <c r="E508" s="36">
        <v>45076</v>
      </c>
      <c r="F508" s="36">
        <v>47267</v>
      </c>
      <c r="G508" s="64" t="s">
        <v>6</v>
      </c>
      <c r="H508" s="38" t="s">
        <v>2337</v>
      </c>
      <c r="I508" s="35" t="s">
        <v>2505</v>
      </c>
      <c r="J508" s="38" t="s">
        <v>3392</v>
      </c>
      <c r="K508" s="38" t="s">
        <v>2583</v>
      </c>
      <c r="L508" s="45">
        <v>148000</v>
      </c>
      <c r="M508" s="30">
        <v>0</v>
      </c>
      <c r="N508" s="30">
        <v>0</v>
      </c>
      <c r="O508" s="30">
        <f t="shared" si="8"/>
        <v>148000</v>
      </c>
      <c r="P508" s="44">
        <v>2.0299999999999998</v>
      </c>
    </row>
    <row r="509" spans="2:16" x14ac:dyDescent="0.35">
      <c r="B509" s="39" t="s">
        <v>3414</v>
      </c>
      <c r="C509" s="80" t="s">
        <v>3789</v>
      </c>
      <c r="D509" s="40">
        <v>44910</v>
      </c>
      <c r="E509" s="36">
        <v>45076</v>
      </c>
      <c r="F509" s="36">
        <v>47267</v>
      </c>
      <c r="G509" s="64" t="s">
        <v>6</v>
      </c>
      <c r="H509" s="38" t="s">
        <v>2337</v>
      </c>
      <c r="I509" s="35" t="s">
        <v>2505</v>
      </c>
      <c r="J509" s="38" t="s">
        <v>3392</v>
      </c>
      <c r="K509" s="38" t="s">
        <v>2586</v>
      </c>
      <c r="L509" s="45">
        <v>2700000</v>
      </c>
      <c r="M509" s="30">
        <v>0</v>
      </c>
      <c r="N509" s="30">
        <v>0</v>
      </c>
      <c r="O509" s="30">
        <f t="shared" si="8"/>
        <v>2700000</v>
      </c>
      <c r="P509" s="44">
        <v>2.0299999999999998</v>
      </c>
    </row>
    <row r="510" spans="2:16" x14ac:dyDescent="0.35">
      <c r="B510" s="39" t="s">
        <v>3484</v>
      </c>
      <c r="C510" s="80" t="s">
        <v>3786</v>
      </c>
      <c r="D510" s="40">
        <v>44974</v>
      </c>
      <c r="E510" s="36">
        <v>45076</v>
      </c>
      <c r="F510" s="36">
        <v>45625</v>
      </c>
      <c r="G510" s="64" t="s">
        <v>6</v>
      </c>
      <c r="H510" s="38" t="s">
        <v>3489</v>
      </c>
      <c r="I510" s="39" t="s">
        <v>2490</v>
      </c>
      <c r="J510" s="38" t="s">
        <v>4559</v>
      </c>
      <c r="K510" s="38" t="s">
        <v>2583</v>
      </c>
      <c r="L510" s="45">
        <v>19687.5</v>
      </c>
      <c r="M510" s="30">
        <v>0</v>
      </c>
      <c r="N510" s="30">
        <v>2500</v>
      </c>
      <c r="O510" s="30">
        <f t="shared" si="8"/>
        <v>17187.5</v>
      </c>
      <c r="P510" s="44">
        <v>9.23</v>
      </c>
    </row>
    <row r="511" spans="2:16" x14ac:dyDescent="0.35">
      <c r="B511" s="39" t="s">
        <v>3485</v>
      </c>
      <c r="C511" s="80" t="s">
        <v>3787</v>
      </c>
      <c r="D511" s="40">
        <v>44974</v>
      </c>
      <c r="E511" s="36">
        <v>45076</v>
      </c>
      <c r="F511" s="36">
        <v>46902</v>
      </c>
      <c r="G511" s="64" t="s">
        <v>6</v>
      </c>
      <c r="H511" s="38" t="s">
        <v>3489</v>
      </c>
      <c r="I511" s="39" t="s">
        <v>2490</v>
      </c>
      <c r="J511" s="38" t="s">
        <v>4559</v>
      </c>
      <c r="K511" s="38" t="s">
        <v>2586</v>
      </c>
      <c r="L511" s="45">
        <v>752376</v>
      </c>
      <c r="M511" s="30">
        <v>0</v>
      </c>
      <c r="N511" s="30">
        <f>175302.22+75489.78+250792+206493.85</f>
        <v>708077.85</v>
      </c>
      <c r="O511" s="30">
        <f t="shared" si="8"/>
        <v>44298.150000000023</v>
      </c>
      <c r="P511" s="44">
        <v>9.23</v>
      </c>
    </row>
    <row r="512" spans="2:16" ht="29" x14ac:dyDescent="0.35">
      <c r="B512" s="35" t="s">
        <v>3796</v>
      </c>
      <c r="C512" s="80" t="s">
        <v>3797</v>
      </c>
      <c r="D512" s="36">
        <v>44972</v>
      </c>
      <c r="E512" s="36">
        <v>45077</v>
      </c>
      <c r="F512" s="36">
        <v>46903</v>
      </c>
      <c r="G512" s="64" t="s">
        <v>6</v>
      </c>
      <c r="H512" s="43" t="s">
        <v>3798</v>
      </c>
      <c r="I512" s="35" t="s">
        <v>2479</v>
      </c>
      <c r="J512" s="38" t="s">
        <v>4639</v>
      </c>
      <c r="K512" s="38" t="s">
        <v>2583</v>
      </c>
      <c r="L512" s="30">
        <v>3000</v>
      </c>
      <c r="M512" s="30">
        <v>0</v>
      </c>
      <c r="N512" s="30">
        <v>0</v>
      </c>
      <c r="O512" s="30">
        <f t="shared" si="8"/>
        <v>3000</v>
      </c>
      <c r="P512" s="44">
        <v>12.98</v>
      </c>
    </row>
    <row r="513" spans="2:16" ht="29" x14ac:dyDescent="0.35">
      <c r="B513" s="35" t="s">
        <v>3348</v>
      </c>
      <c r="C513" s="80" t="s">
        <v>3790</v>
      </c>
      <c r="D513" s="36">
        <v>44781</v>
      </c>
      <c r="E513" s="36">
        <v>45079</v>
      </c>
      <c r="F513" s="36">
        <v>45809</v>
      </c>
      <c r="G513" s="64" t="s">
        <v>6</v>
      </c>
      <c r="H513" s="43" t="s">
        <v>3791</v>
      </c>
      <c r="I513" s="35" t="s">
        <v>2517</v>
      </c>
      <c r="J513" s="43" t="s">
        <v>4638</v>
      </c>
      <c r="K513" s="43" t="s">
        <v>3555</v>
      </c>
      <c r="L513" s="30">
        <v>50000</v>
      </c>
      <c r="M513" s="30">
        <v>0</v>
      </c>
      <c r="N513" s="30">
        <v>0</v>
      </c>
      <c r="O513" s="30">
        <f t="shared" si="8"/>
        <v>50000</v>
      </c>
      <c r="P513" s="44" t="s">
        <v>2874</v>
      </c>
    </row>
    <row r="514" spans="2:16" ht="29" x14ac:dyDescent="0.35">
      <c r="B514" s="35" t="s">
        <v>3405</v>
      </c>
      <c r="C514" s="80" t="s">
        <v>3844</v>
      </c>
      <c r="D514" s="36">
        <v>44781</v>
      </c>
      <c r="E514" s="36">
        <v>45079</v>
      </c>
      <c r="F514" s="36">
        <v>45107</v>
      </c>
      <c r="G514" s="64" t="s">
        <v>6</v>
      </c>
      <c r="H514" s="43" t="s">
        <v>187</v>
      </c>
      <c r="I514" s="35" t="s">
        <v>2491</v>
      </c>
      <c r="J514" s="43" t="s">
        <v>4643</v>
      </c>
      <c r="K514" s="43" t="s">
        <v>3184</v>
      </c>
      <c r="L514" s="30">
        <v>3600</v>
      </c>
      <c r="M514" s="30">
        <v>0</v>
      </c>
      <c r="N514" s="30">
        <v>3491.98</v>
      </c>
      <c r="O514" s="30">
        <f t="shared" si="8"/>
        <v>108.01999999999998</v>
      </c>
      <c r="P514" s="44" t="s">
        <v>2874</v>
      </c>
    </row>
    <row r="515" spans="2:16" ht="29" x14ac:dyDescent="0.35">
      <c r="B515" s="35" t="s">
        <v>3348</v>
      </c>
      <c r="C515" s="80" t="s">
        <v>3845</v>
      </c>
      <c r="D515" s="36">
        <v>44781</v>
      </c>
      <c r="E515" s="36">
        <v>45079</v>
      </c>
      <c r="F515" s="36">
        <v>45809</v>
      </c>
      <c r="G515" s="64" t="s">
        <v>6</v>
      </c>
      <c r="H515" s="43" t="s">
        <v>3846</v>
      </c>
      <c r="I515" s="35" t="s">
        <v>2531</v>
      </c>
      <c r="J515" s="43" t="s">
        <v>3885</v>
      </c>
      <c r="K515" s="43" t="s">
        <v>3555</v>
      </c>
      <c r="L515" s="30">
        <v>50000</v>
      </c>
      <c r="M515" s="30">
        <v>0</v>
      </c>
      <c r="N515" s="30">
        <v>0</v>
      </c>
      <c r="O515" s="30">
        <f t="shared" si="8"/>
        <v>50000</v>
      </c>
      <c r="P515" s="44" t="s">
        <v>2874</v>
      </c>
    </row>
    <row r="516" spans="2:16" ht="29" x14ac:dyDescent="0.35">
      <c r="B516" s="35" t="s">
        <v>3348</v>
      </c>
      <c r="C516" s="80" t="s">
        <v>3847</v>
      </c>
      <c r="D516" s="36">
        <v>44781</v>
      </c>
      <c r="E516" s="36">
        <v>45079</v>
      </c>
      <c r="F516" s="36">
        <v>45809</v>
      </c>
      <c r="G516" s="64" t="s">
        <v>6</v>
      </c>
      <c r="H516" s="43" t="s">
        <v>3848</v>
      </c>
      <c r="I516" s="35" t="s">
        <v>2480</v>
      </c>
      <c r="J516" s="43" t="s">
        <v>3886</v>
      </c>
      <c r="K516" s="43" t="s">
        <v>3555</v>
      </c>
      <c r="L516" s="30">
        <v>25000</v>
      </c>
      <c r="M516" s="30">
        <v>0</v>
      </c>
      <c r="N516" s="30">
        <f>5695+5081</f>
        <v>10776</v>
      </c>
      <c r="O516" s="30">
        <f t="shared" ref="O516:O579" si="9">L516-M516-N516</f>
        <v>14224</v>
      </c>
      <c r="P516" s="44" t="s">
        <v>2874</v>
      </c>
    </row>
    <row r="517" spans="2:16" ht="29" x14ac:dyDescent="0.35">
      <c r="B517" s="35" t="s">
        <v>3348</v>
      </c>
      <c r="C517" s="80" t="s">
        <v>3917</v>
      </c>
      <c r="D517" s="36">
        <v>44781</v>
      </c>
      <c r="E517" s="36">
        <v>45079</v>
      </c>
      <c r="F517" s="36">
        <v>45809</v>
      </c>
      <c r="G517" s="64" t="s">
        <v>6</v>
      </c>
      <c r="H517" s="43" t="s">
        <v>4060</v>
      </c>
      <c r="I517" s="35" t="s">
        <v>2522</v>
      </c>
      <c r="J517" s="43" t="s">
        <v>4636</v>
      </c>
      <c r="K517" s="43" t="s">
        <v>3555</v>
      </c>
      <c r="L517" s="30">
        <v>50000</v>
      </c>
      <c r="M517" s="30">
        <v>0</v>
      </c>
      <c r="N517" s="30">
        <v>0</v>
      </c>
      <c r="O517" s="30">
        <f t="shared" si="9"/>
        <v>50000</v>
      </c>
      <c r="P517" s="43" t="s">
        <v>2874</v>
      </c>
    </row>
    <row r="518" spans="2:16" x14ac:dyDescent="0.35">
      <c r="B518" s="39" t="s">
        <v>3666</v>
      </c>
      <c r="C518" s="80" t="s">
        <v>3792</v>
      </c>
      <c r="D518" s="40">
        <v>45000</v>
      </c>
      <c r="E518" s="36">
        <v>45082</v>
      </c>
      <c r="F518" s="36">
        <v>46908</v>
      </c>
      <c r="G518" s="64" t="s">
        <v>6</v>
      </c>
      <c r="H518" s="38" t="s">
        <v>3668</v>
      </c>
      <c r="I518" s="35" t="s">
        <v>2480</v>
      </c>
      <c r="J518" s="38" t="s">
        <v>3704</v>
      </c>
      <c r="K518" s="38" t="s">
        <v>2583</v>
      </c>
      <c r="L518" s="45">
        <v>175000</v>
      </c>
      <c r="M518" s="30">
        <v>0</v>
      </c>
      <c r="N518" s="30">
        <v>0</v>
      </c>
      <c r="O518" s="30">
        <f t="shared" si="9"/>
        <v>175000</v>
      </c>
      <c r="P518" s="44">
        <v>2.0699999999999998</v>
      </c>
    </row>
    <row r="519" spans="2:16" x14ac:dyDescent="0.35">
      <c r="B519" s="39" t="s">
        <v>3667</v>
      </c>
      <c r="C519" s="80" t="s">
        <v>3793</v>
      </c>
      <c r="D519" s="40">
        <v>45000</v>
      </c>
      <c r="E519" s="36">
        <v>45082</v>
      </c>
      <c r="F519" s="36">
        <v>46908</v>
      </c>
      <c r="G519" s="64" t="s">
        <v>6</v>
      </c>
      <c r="H519" s="38" t="s">
        <v>3668</v>
      </c>
      <c r="I519" s="35" t="s">
        <v>2480</v>
      </c>
      <c r="J519" s="38" t="s">
        <v>3704</v>
      </c>
      <c r="K519" s="38" t="s">
        <v>2586</v>
      </c>
      <c r="L519" s="45">
        <v>1750000</v>
      </c>
      <c r="M519" s="30">
        <v>0</v>
      </c>
      <c r="N519" s="30">
        <f>890576.88+379545.99</f>
        <v>1270122.8700000001</v>
      </c>
      <c r="O519" s="30">
        <f t="shared" si="9"/>
        <v>479877.12999999989</v>
      </c>
      <c r="P519" s="44">
        <v>2.0699999999999998</v>
      </c>
    </row>
    <row r="520" spans="2:16" x14ac:dyDescent="0.35">
      <c r="B520" s="39" t="s">
        <v>3813</v>
      </c>
      <c r="C520" s="80" t="s">
        <v>3929</v>
      </c>
      <c r="D520" s="40">
        <v>45000</v>
      </c>
      <c r="E520" s="36">
        <v>45083</v>
      </c>
      <c r="F520" s="36">
        <v>46909</v>
      </c>
      <c r="G520" s="64" t="s">
        <v>6</v>
      </c>
      <c r="H520" s="38" t="s">
        <v>3814</v>
      </c>
      <c r="I520" s="35" t="s">
        <v>2816</v>
      </c>
      <c r="J520" s="38" t="s">
        <v>4640</v>
      </c>
      <c r="K520" s="38" t="s">
        <v>2585</v>
      </c>
      <c r="L520" s="45">
        <v>2500000</v>
      </c>
      <c r="M520" s="30">
        <v>0</v>
      </c>
      <c r="N520" s="30">
        <v>0</v>
      </c>
      <c r="O520" s="30">
        <f t="shared" si="9"/>
        <v>2500000</v>
      </c>
      <c r="P520" s="44">
        <v>195.86</v>
      </c>
    </row>
    <row r="521" spans="2:16" x14ac:dyDescent="0.35">
      <c r="B521" s="35" t="s">
        <v>3688</v>
      </c>
      <c r="C521" s="80" t="s">
        <v>3794</v>
      </c>
      <c r="D521" s="36">
        <v>44781</v>
      </c>
      <c r="E521" s="36">
        <v>45084</v>
      </c>
      <c r="F521" s="36">
        <v>45449</v>
      </c>
      <c r="G521" s="64" t="s">
        <v>5683</v>
      </c>
      <c r="H521" s="43" t="s">
        <v>3795</v>
      </c>
      <c r="I521" s="35" t="s">
        <v>2484</v>
      </c>
      <c r="J521" s="43" t="s">
        <v>3807</v>
      </c>
      <c r="K521" s="43" t="s">
        <v>3689</v>
      </c>
      <c r="L521" s="30">
        <v>15000</v>
      </c>
      <c r="M521" s="30">
        <v>11697.93</v>
      </c>
      <c r="N521" s="30">
        <f>1174.75+234.4+458.16+54.43+1357.62+22.71</f>
        <v>3302.07</v>
      </c>
      <c r="O521" s="30">
        <f t="shared" si="9"/>
        <v>0</v>
      </c>
      <c r="P521" s="44" t="s">
        <v>2874</v>
      </c>
    </row>
    <row r="522" spans="2:16" ht="43.5" x14ac:dyDescent="0.35">
      <c r="B522" s="39" t="s">
        <v>3000</v>
      </c>
      <c r="C522" s="80" t="s">
        <v>3898</v>
      </c>
      <c r="D522" s="40">
        <v>44587</v>
      </c>
      <c r="E522" s="36">
        <v>45086</v>
      </c>
      <c r="F522" s="36">
        <v>46469</v>
      </c>
      <c r="G522" s="64" t="s">
        <v>6</v>
      </c>
      <c r="H522" s="38" t="s">
        <v>3010</v>
      </c>
      <c r="I522" s="35" t="s">
        <v>2480</v>
      </c>
      <c r="J522" s="38" t="s">
        <v>4551</v>
      </c>
      <c r="K522" s="38" t="s">
        <v>2586</v>
      </c>
      <c r="L522" s="45">
        <v>500000</v>
      </c>
      <c r="M522" s="30">
        <v>0</v>
      </c>
      <c r="N522" s="30">
        <f>213372.96+110242.92+22947.78</f>
        <v>346563.66000000003</v>
      </c>
      <c r="O522" s="30">
        <f t="shared" si="9"/>
        <v>153436.33999999997</v>
      </c>
      <c r="P522" s="44">
        <v>8.3500000000000005E-2</v>
      </c>
    </row>
    <row r="523" spans="2:16" ht="29" x14ac:dyDescent="0.35">
      <c r="B523" s="35" t="s">
        <v>3348</v>
      </c>
      <c r="C523" s="80" t="s">
        <v>3921</v>
      </c>
      <c r="D523" s="36">
        <v>44781</v>
      </c>
      <c r="E523" s="36">
        <v>45090</v>
      </c>
      <c r="F523" s="36">
        <v>45820</v>
      </c>
      <c r="G523" s="64" t="s">
        <v>6</v>
      </c>
      <c r="H523" s="43" t="s">
        <v>3922</v>
      </c>
      <c r="I523" s="35" t="s">
        <v>2515</v>
      </c>
      <c r="J523" s="43" t="s">
        <v>4636</v>
      </c>
      <c r="K523" s="43" t="s">
        <v>3555</v>
      </c>
      <c r="L523" s="30">
        <v>30000</v>
      </c>
      <c r="M523" s="30">
        <v>0</v>
      </c>
      <c r="N523" s="30">
        <v>0</v>
      </c>
      <c r="O523" s="30">
        <f t="shared" si="9"/>
        <v>30000</v>
      </c>
      <c r="P523" s="44" t="s">
        <v>2874</v>
      </c>
    </row>
    <row r="524" spans="2:16" ht="29" x14ac:dyDescent="0.35">
      <c r="B524" s="35" t="s">
        <v>3348</v>
      </c>
      <c r="C524" s="80" t="s">
        <v>3923</v>
      </c>
      <c r="D524" s="36">
        <v>44781</v>
      </c>
      <c r="E524" s="36">
        <v>45090</v>
      </c>
      <c r="F524" s="36">
        <v>45820</v>
      </c>
      <c r="G524" s="64" t="s">
        <v>6</v>
      </c>
      <c r="H524" s="43" t="s">
        <v>3924</v>
      </c>
      <c r="I524" s="35" t="s">
        <v>2494</v>
      </c>
      <c r="J524" s="43" t="s">
        <v>4636</v>
      </c>
      <c r="K524" s="43" t="s">
        <v>3555</v>
      </c>
      <c r="L524" s="30">
        <v>50000</v>
      </c>
      <c r="M524" s="30">
        <v>0</v>
      </c>
      <c r="N524" s="30">
        <f>37522.72+2153.33+10323.95</f>
        <v>50000</v>
      </c>
      <c r="O524" s="30">
        <f t="shared" si="9"/>
        <v>0</v>
      </c>
      <c r="P524" s="44" t="s">
        <v>2874</v>
      </c>
    </row>
    <row r="525" spans="2:16" ht="29" x14ac:dyDescent="0.35">
      <c r="B525" s="35" t="s">
        <v>3348</v>
      </c>
      <c r="C525" s="80" t="s">
        <v>3925</v>
      </c>
      <c r="D525" s="36">
        <v>44781</v>
      </c>
      <c r="E525" s="36">
        <v>45090</v>
      </c>
      <c r="F525" s="36">
        <v>45820</v>
      </c>
      <c r="G525" s="64" t="s">
        <v>6</v>
      </c>
      <c r="H525" s="43" t="s">
        <v>3926</v>
      </c>
      <c r="I525" s="35" t="s">
        <v>2542</v>
      </c>
      <c r="J525" s="43" t="s">
        <v>4654</v>
      </c>
      <c r="K525" s="43" t="s">
        <v>3555</v>
      </c>
      <c r="L525" s="30">
        <v>50000</v>
      </c>
      <c r="M525" s="30">
        <v>0</v>
      </c>
      <c r="N525" s="30">
        <v>50000</v>
      </c>
      <c r="O525" s="30">
        <f t="shared" si="9"/>
        <v>0</v>
      </c>
      <c r="P525" s="44" t="s">
        <v>2874</v>
      </c>
    </row>
    <row r="526" spans="2:16" ht="29" x14ac:dyDescent="0.35">
      <c r="B526" s="35" t="s">
        <v>3348</v>
      </c>
      <c r="C526" s="80" t="s">
        <v>3927</v>
      </c>
      <c r="D526" s="36">
        <v>44781</v>
      </c>
      <c r="E526" s="36">
        <v>45090</v>
      </c>
      <c r="F526" s="36">
        <v>45820</v>
      </c>
      <c r="G526" s="64" t="s">
        <v>6</v>
      </c>
      <c r="H526" s="43" t="s">
        <v>3928</v>
      </c>
      <c r="I526" s="35" t="s">
        <v>2643</v>
      </c>
      <c r="J526" s="43" t="s">
        <v>4067</v>
      </c>
      <c r="K526" s="43" t="s">
        <v>3555</v>
      </c>
      <c r="L526" s="30">
        <v>50000</v>
      </c>
      <c r="M526" s="30">
        <v>0</v>
      </c>
      <c r="N526" s="30">
        <v>0</v>
      </c>
      <c r="O526" s="30">
        <f t="shared" si="9"/>
        <v>50000</v>
      </c>
      <c r="P526" s="44" t="s">
        <v>2874</v>
      </c>
    </row>
    <row r="527" spans="2:16" x14ac:dyDescent="0.35">
      <c r="B527" s="39" t="s">
        <v>3811</v>
      </c>
      <c r="C527" s="80" t="s">
        <v>3930</v>
      </c>
      <c r="D527" s="40">
        <v>45000</v>
      </c>
      <c r="E527" s="36">
        <v>45091</v>
      </c>
      <c r="F527" s="36">
        <v>46917</v>
      </c>
      <c r="G527" s="64" t="s">
        <v>6</v>
      </c>
      <c r="H527" s="38" t="s">
        <v>3814</v>
      </c>
      <c r="I527" s="35" t="s">
        <v>2816</v>
      </c>
      <c r="J527" s="38" t="s">
        <v>4640</v>
      </c>
      <c r="K527" s="38" t="s">
        <v>2583</v>
      </c>
      <c r="L527" s="45">
        <v>330000</v>
      </c>
      <c r="M527" s="30">
        <v>0</v>
      </c>
      <c r="N527" s="30">
        <v>0</v>
      </c>
      <c r="O527" s="30">
        <f t="shared" si="9"/>
        <v>330000</v>
      </c>
      <c r="P527" s="44">
        <v>195.86</v>
      </c>
    </row>
    <row r="528" spans="2:16" x14ac:dyDescent="0.35">
      <c r="B528" s="39" t="s">
        <v>3812</v>
      </c>
      <c r="C528" s="80" t="s">
        <v>3931</v>
      </c>
      <c r="D528" s="40">
        <v>45000</v>
      </c>
      <c r="E528" s="36">
        <v>45091</v>
      </c>
      <c r="F528" s="36">
        <v>46917</v>
      </c>
      <c r="G528" s="64" t="s">
        <v>6</v>
      </c>
      <c r="H528" s="38" t="s">
        <v>3814</v>
      </c>
      <c r="I528" s="35" t="s">
        <v>2816</v>
      </c>
      <c r="J528" s="38" t="s">
        <v>4640</v>
      </c>
      <c r="K528" s="38" t="s">
        <v>2586</v>
      </c>
      <c r="L528" s="45">
        <v>8000000</v>
      </c>
      <c r="M528" s="30">
        <v>0</v>
      </c>
      <c r="N528" s="30">
        <v>1491728.49</v>
      </c>
      <c r="O528" s="30">
        <f t="shared" si="9"/>
        <v>6508271.5099999998</v>
      </c>
      <c r="P528" s="44">
        <v>195.86</v>
      </c>
    </row>
    <row r="529" spans="2:16" ht="29" x14ac:dyDescent="0.35">
      <c r="B529" s="35" t="s">
        <v>3799</v>
      </c>
      <c r="C529" s="80" t="s">
        <v>3851</v>
      </c>
      <c r="D529" s="36">
        <v>44781</v>
      </c>
      <c r="E529" s="36">
        <v>45091</v>
      </c>
      <c r="F529" s="36">
        <v>45095</v>
      </c>
      <c r="G529" s="64" t="s">
        <v>6</v>
      </c>
      <c r="H529" s="43" t="s">
        <v>3887</v>
      </c>
      <c r="I529" s="35" t="s">
        <v>3654</v>
      </c>
      <c r="J529" s="38" t="s">
        <v>4645</v>
      </c>
      <c r="K529" s="38" t="s">
        <v>2573</v>
      </c>
      <c r="L529" s="30">
        <v>626.92999999999995</v>
      </c>
      <c r="M529" s="30">
        <v>0</v>
      </c>
      <c r="N529" s="30">
        <v>0</v>
      </c>
      <c r="O529" s="30">
        <f t="shared" si="9"/>
        <v>626.92999999999995</v>
      </c>
      <c r="P529" s="44" t="s">
        <v>2874</v>
      </c>
    </row>
    <row r="530" spans="2:16" ht="29" x14ac:dyDescent="0.35">
      <c r="B530" s="39" t="s">
        <v>3658</v>
      </c>
      <c r="C530" s="80" t="s">
        <v>3853</v>
      </c>
      <c r="D530" s="40">
        <v>44972</v>
      </c>
      <c r="E530" s="36">
        <v>45093</v>
      </c>
      <c r="F530" s="36">
        <v>46919</v>
      </c>
      <c r="G530" s="64" t="s">
        <v>6</v>
      </c>
      <c r="H530" s="38" t="s">
        <v>3662</v>
      </c>
      <c r="I530" s="35" t="s">
        <v>2485</v>
      </c>
      <c r="J530" s="38" t="s">
        <v>3702</v>
      </c>
      <c r="K530" s="38" t="s">
        <v>2583</v>
      </c>
      <c r="L530" s="45">
        <v>18000</v>
      </c>
      <c r="M530" s="30">
        <v>0</v>
      </c>
      <c r="N530" s="30">
        <v>0</v>
      </c>
      <c r="O530" s="30">
        <f t="shared" si="9"/>
        <v>18000</v>
      </c>
      <c r="P530" s="44">
        <v>1.49</v>
      </c>
    </row>
    <row r="531" spans="2:16" ht="29" x14ac:dyDescent="0.35">
      <c r="B531" s="39" t="s">
        <v>3659</v>
      </c>
      <c r="C531" s="80" t="s">
        <v>3852</v>
      </c>
      <c r="D531" s="40">
        <v>44972</v>
      </c>
      <c r="E531" s="36">
        <v>45093</v>
      </c>
      <c r="F531" s="36">
        <v>46919</v>
      </c>
      <c r="G531" s="64" t="s">
        <v>6</v>
      </c>
      <c r="H531" s="38" t="s">
        <v>3662</v>
      </c>
      <c r="I531" s="35" t="s">
        <v>2485</v>
      </c>
      <c r="J531" s="38" t="s">
        <v>3702</v>
      </c>
      <c r="K531" s="38" t="s">
        <v>2586</v>
      </c>
      <c r="L531" s="45">
        <v>160000</v>
      </c>
      <c r="M531" s="30">
        <v>0</v>
      </c>
      <c r="N531" s="30">
        <v>0</v>
      </c>
      <c r="O531" s="30">
        <f t="shared" si="9"/>
        <v>160000</v>
      </c>
      <c r="P531" s="44">
        <v>1.49</v>
      </c>
    </row>
    <row r="532" spans="2:16" x14ac:dyDescent="0.35">
      <c r="B532" s="35" t="s">
        <v>3350</v>
      </c>
      <c r="C532" s="105" t="s">
        <v>3854</v>
      </c>
      <c r="D532" s="36">
        <v>44781</v>
      </c>
      <c r="E532" s="36">
        <v>45093</v>
      </c>
      <c r="F532" s="36">
        <v>46188</v>
      </c>
      <c r="G532" s="64" t="s">
        <v>6</v>
      </c>
      <c r="H532" s="43" t="s">
        <v>3888</v>
      </c>
      <c r="I532" s="35" t="s">
        <v>3334</v>
      </c>
      <c r="J532" s="38" t="s">
        <v>3889</v>
      </c>
      <c r="K532" s="38" t="s">
        <v>2573</v>
      </c>
      <c r="L532" s="30">
        <v>1907</v>
      </c>
      <c r="M532" s="30">
        <v>0</v>
      </c>
      <c r="N532" s="30">
        <v>0</v>
      </c>
      <c r="O532" s="30">
        <f t="shared" si="9"/>
        <v>1907</v>
      </c>
      <c r="P532" s="44" t="s">
        <v>2874</v>
      </c>
    </row>
    <row r="533" spans="2:16" ht="29" x14ac:dyDescent="0.35">
      <c r="B533" s="35" t="s">
        <v>3348</v>
      </c>
      <c r="C533" s="80" t="s">
        <v>3932</v>
      </c>
      <c r="D533" s="36">
        <v>44781</v>
      </c>
      <c r="E533" s="36">
        <v>45093</v>
      </c>
      <c r="F533" s="36">
        <v>45823</v>
      </c>
      <c r="G533" s="64" t="s">
        <v>6</v>
      </c>
      <c r="H533" s="43" t="s">
        <v>3933</v>
      </c>
      <c r="I533" s="35" t="s">
        <v>2478</v>
      </c>
      <c r="J533" s="43" t="s">
        <v>4655</v>
      </c>
      <c r="K533" s="43" t="s">
        <v>3555</v>
      </c>
      <c r="L533" s="30">
        <v>50000</v>
      </c>
      <c r="M533" s="30">
        <v>0</v>
      </c>
      <c r="N533" s="30">
        <f>5053.1+7579.65+4061.66+7641.03+18593.83</f>
        <v>42929.270000000004</v>
      </c>
      <c r="O533" s="30">
        <f t="shared" si="9"/>
        <v>7070.7299999999959</v>
      </c>
      <c r="P533" s="44" t="s">
        <v>2874</v>
      </c>
    </row>
    <row r="534" spans="2:16" ht="29" x14ac:dyDescent="0.35">
      <c r="B534" s="35" t="s">
        <v>3348</v>
      </c>
      <c r="C534" s="80" t="s">
        <v>3934</v>
      </c>
      <c r="D534" s="36">
        <v>44781</v>
      </c>
      <c r="E534" s="36">
        <v>45093</v>
      </c>
      <c r="F534" s="36">
        <v>45823</v>
      </c>
      <c r="G534" s="64" t="s">
        <v>6</v>
      </c>
      <c r="H534" s="43" t="s">
        <v>3935</v>
      </c>
      <c r="I534" s="35" t="s">
        <v>2480</v>
      </c>
      <c r="J534" s="43" t="s">
        <v>4636</v>
      </c>
      <c r="K534" s="43" t="s">
        <v>3555</v>
      </c>
      <c r="L534" s="30">
        <v>50000</v>
      </c>
      <c r="M534" s="30">
        <v>0</v>
      </c>
      <c r="N534" s="30">
        <f>4093.94+5000+1000+4000+3000+3000</f>
        <v>20093.940000000002</v>
      </c>
      <c r="O534" s="30">
        <f t="shared" si="9"/>
        <v>29906.059999999998</v>
      </c>
      <c r="P534" s="44" t="s">
        <v>2874</v>
      </c>
    </row>
    <row r="535" spans="2:16" ht="29" x14ac:dyDescent="0.35">
      <c r="B535" s="35" t="s">
        <v>3348</v>
      </c>
      <c r="C535" s="80" t="s">
        <v>3936</v>
      </c>
      <c r="D535" s="36">
        <v>44781</v>
      </c>
      <c r="E535" s="36">
        <v>45093</v>
      </c>
      <c r="F535" s="36">
        <v>45823</v>
      </c>
      <c r="G535" s="64" t="s">
        <v>6</v>
      </c>
      <c r="H535" s="43" t="s">
        <v>3937</v>
      </c>
      <c r="I535" s="35" t="s">
        <v>2503</v>
      </c>
      <c r="J535" s="43" t="s">
        <v>2551</v>
      </c>
      <c r="K535" s="43" t="s">
        <v>3555</v>
      </c>
      <c r="L535" s="30">
        <v>50000</v>
      </c>
      <c r="M535" s="30">
        <v>0</v>
      </c>
      <c r="N535" s="30">
        <f>10487</f>
        <v>10487</v>
      </c>
      <c r="O535" s="30">
        <f t="shared" si="9"/>
        <v>39513</v>
      </c>
      <c r="P535" s="44" t="s">
        <v>2874</v>
      </c>
    </row>
    <row r="536" spans="2:16" ht="29" x14ac:dyDescent="0.35">
      <c r="B536" s="35" t="s">
        <v>3348</v>
      </c>
      <c r="C536" s="80" t="s">
        <v>3938</v>
      </c>
      <c r="D536" s="36">
        <v>44781</v>
      </c>
      <c r="E536" s="36">
        <v>45093</v>
      </c>
      <c r="F536" s="36">
        <v>45823</v>
      </c>
      <c r="G536" s="64" t="s">
        <v>6</v>
      </c>
      <c r="H536" s="43" t="s">
        <v>3939</v>
      </c>
      <c r="I536" s="35" t="s">
        <v>2540</v>
      </c>
      <c r="J536" s="43" t="s">
        <v>4655</v>
      </c>
      <c r="K536" s="43" t="s">
        <v>3555</v>
      </c>
      <c r="L536" s="30">
        <v>50000</v>
      </c>
      <c r="M536" s="30">
        <v>0</v>
      </c>
      <c r="N536" s="30">
        <f>4073.98+8745</f>
        <v>12818.98</v>
      </c>
      <c r="O536" s="30">
        <f t="shared" si="9"/>
        <v>37181.020000000004</v>
      </c>
      <c r="P536" s="44" t="s">
        <v>2874</v>
      </c>
    </row>
    <row r="537" spans="2:16" ht="29" x14ac:dyDescent="0.35">
      <c r="B537" s="35" t="s">
        <v>3348</v>
      </c>
      <c r="C537" s="80" t="s">
        <v>3940</v>
      </c>
      <c r="D537" s="36">
        <v>44781</v>
      </c>
      <c r="E537" s="36">
        <v>45093</v>
      </c>
      <c r="F537" s="36">
        <v>45823</v>
      </c>
      <c r="G537" s="64" t="s">
        <v>6</v>
      </c>
      <c r="H537" s="43" t="s">
        <v>3941</v>
      </c>
      <c r="I537" s="35" t="s">
        <v>2480</v>
      </c>
      <c r="J537" s="43" t="s">
        <v>4636</v>
      </c>
      <c r="K537" s="43" t="s">
        <v>3555</v>
      </c>
      <c r="L537" s="30">
        <v>50000</v>
      </c>
      <c r="M537" s="30">
        <v>0</v>
      </c>
      <c r="N537" s="30">
        <f>4456.65+4685+350+2520+1061+3321.6</f>
        <v>16394.25</v>
      </c>
      <c r="O537" s="30">
        <f t="shared" si="9"/>
        <v>33605.75</v>
      </c>
      <c r="P537" s="44" t="s">
        <v>2874</v>
      </c>
    </row>
    <row r="538" spans="2:16" ht="29" x14ac:dyDescent="0.35">
      <c r="B538" s="35" t="s">
        <v>3348</v>
      </c>
      <c r="C538" s="80" t="s">
        <v>3942</v>
      </c>
      <c r="D538" s="36">
        <v>44781</v>
      </c>
      <c r="E538" s="36">
        <v>45093</v>
      </c>
      <c r="F538" s="36">
        <v>45823</v>
      </c>
      <c r="G538" s="64" t="s">
        <v>6</v>
      </c>
      <c r="H538" s="43" t="s">
        <v>3943</v>
      </c>
      <c r="I538" s="35" t="s">
        <v>2642</v>
      </c>
      <c r="J538" s="43" t="s">
        <v>4655</v>
      </c>
      <c r="K538" s="43" t="s">
        <v>3555</v>
      </c>
      <c r="L538" s="30">
        <v>50000</v>
      </c>
      <c r="M538" s="30">
        <v>0</v>
      </c>
      <c r="N538" s="30">
        <f>28395+6685</f>
        <v>35080</v>
      </c>
      <c r="O538" s="30">
        <f t="shared" si="9"/>
        <v>14920</v>
      </c>
      <c r="P538" s="44" t="s">
        <v>2874</v>
      </c>
    </row>
    <row r="539" spans="2:16" ht="29" x14ac:dyDescent="0.35">
      <c r="B539" s="35" t="s">
        <v>3348</v>
      </c>
      <c r="C539" s="80" t="s">
        <v>3944</v>
      </c>
      <c r="D539" s="36">
        <v>44781</v>
      </c>
      <c r="E539" s="36">
        <v>45093</v>
      </c>
      <c r="F539" s="36">
        <v>45823</v>
      </c>
      <c r="G539" s="64" t="s">
        <v>6</v>
      </c>
      <c r="H539" s="43" t="s">
        <v>3945</v>
      </c>
      <c r="I539" s="35" t="s">
        <v>2491</v>
      </c>
      <c r="J539" s="43" t="s">
        <v>4636</v>
      </c>
      <c r="K539" s="43" t="s">
        <v>3555</v>
      </c>
      <c r="L539" s="30">
        <v>50000</v>
      </c>
      <c r="M539" s="30">
        <v>0</v>
      </c>
      <c r="N539" s="30">
        <f>14500+27000+8500</f>
        <v>50000</v>
      </c>
      <c r="O539" s="30">
        <f t="shared" si="9"/>
        <v>0</v>
      </c>
      <c r="P539" s="44" t="s">
        <v>2874</v>
      </c>
    </row>
    <row r="540" spans="2:16" ht="29" x14ac:dyDescent="0.35">
      <c r="B540" s="35" t="s">
        <v>3348</v>
      </c>
      <c r="C540" s="80" t="s">
        <v>3946</v>
      </c>
      <c r="D540" s="36">
        <v>44781</v>
      </c>
      <c r="E540" s="36">
        <v>45093</v>
      </c>
      <c r="F540" s="36">
        <v>45823</v>
      </c>
      <c r="G540" s="64" t="s">
        <v>6</v>
      </c>
      <c r="H540" s="43" t="s">
        <v>3947</v>
      </c>
      <c r="I540" s="35" t="s">
        <v>2480</v>
      </c>
      <c r="J540" s="43" t="s">
        <v>3804</v>
      </c>
      <c r="K540" s="43" t="s">
        <v>3555</v>
      </c>
      <c r="L540" s="30">
        <v>50000</v>
      </c>
      <c r="M540" s="30">
        <v>0</v>
      </c>
      <c r="N540" s="30">
        <f>10862.89+15938.9+6975.56+3487.78+3487.78+3487.78+5759.31</f>
        <v>49999.999999999993</v>
      </c>
      <c r="O540" s="30">
        <f t="shared" si="9"/>
        <v>0</v>
      </c>
      <c r="P540" s="44" t="s">
        <v>2874</v>
      </c>
    </row>
    <row r="541" spans="2:16" ht="29" x14ac:dyDescent="0.35">
      <c r="B541" s="35" t="s">
        <v>3348</v>
      </c>
      <c r="C541" s="80" t="s">
        <v>3948</v>
      </c>
      <c r="D541" s="36">
        <v>44781</v>
      </c>
      <c r="E541" s="36">
        <v>45093</v>
      </c>
      <c r="F541" s="36">
        <v>45823</v>
      </c>
      <c r="G541" s="64" t="s">
        <v>6</v>
      </c>
      <c r="H541" s="43" t="s">
        <v>3949</v>
      </c>
      <c r="I541" s="35" t="s">
        <v>2506</v>
      </c>
      <c r="J541" s="43" t="s">
        <v>4068</v>
      </c>
      <c r="K541" s="43" t="s">
        <v>3555</v>
      </c>
      <c r="L541" s="30">
        <v>50000</v>
      </c>
      <c r="M541" s="30">
        <v>0</v>
      </c>
      <c r="N541" s="30">
        <v>23125</v>
      </c>
      <c r="O541" s="30">
        <f t="shared" si="9"/>
        <v>26875</v>
      </c>
      <c r="P541" s="44" t="s">
        <v>2874</v>
      </c>
    </row>
    <row r="542" spans="2:16" ht="29" x14ac:dyDescent="0.35">
      <c r="B542" s="35" t="s">
        <v>3348</v>
      </c>
      <c r="C542" s="80" t="s">
        <v>3950</v>
      </c>
      <c r="D542" s="36">
        <v>44781</v>
      </c>
      <c r="E542" s="36">
        <v>45093</v>
      </c>
      <c r="F542" s="36">
        <v>45823</v>
      </c>
      <c r="G542" s="64" t="s">
        <v>6</v>
      </c>
      <c r="H542" s="43" t="s">
        <v>3951</v>
      </c>
      <c r="I542" s="35" t="s">
        <v>2505</v>
      </c>
      <c r="J542" s="43" t="s">
        <v>4656</v>
      </c>
      <c r="K542" s="43" t="s">
        <v>3555</v>
      </c>
      <c r="L542" s="30">
        <v>50000</v>
      </c>
      <c r="M542" s="30">
        <v>0</v>
      </c>
      <c r="N542" s="30">
        <f>9274.82+8691.53+7480+1200+6584.94+6400+5633</f>
        <v>45264.29</v>
      </c>
      <c r="O542" s="30">
        <f t="shared" si="9"/>
        <v>4735.7099999999991</v>
      </c>
      <c r="P542" s="44" t="s">
        <v>2874</v>
      </c>
    </row>
    <row r="543" spans="2:16" ht="29" x14ac:dyDescent="0.35">
      <c r="B543" s="35" t="s">
        <v>3348</v>
      </c>
      <c r="C543" s="80" t="s">
        <v>3952</v>
      </c>
      <c r="D543" s="36">
        <v>44781</v>
      </c>
      <c r="E543" s="36">
        <v>45093</v>
      </c>
      <c r="F543" s="36">
        <v>45823</v>
      </c>
      <c r="G543" s="64" t="s">
        <v>6</v>
      </c>
      <c r="H543" s="43" t="s">
        <v>3953</v>
      </c>
      <c r="I543" s="35" t="s">
        <v>2494</v>
      </c>
      <c r="J543" s="43" t="s">
        <v>4636</v>
      </c>
      <c r="K543" s="43" t="s">
        <v>3555</v>
      </c>
      <c r="L543" s="30">
        <v>50000</v>
      </c>
      <c r="M543" s="30">
        <v>0</v>
      </c>
      <c r="N543" s="30">
        <f>40499.95</f>
        <v>40499.949999999997</v>
      </c>
      <c r="O543" s="30">
        <f t="shared" si="9"/>
        <v>9500.0500000000029</v>
      </c>
      <c r="P543" s="44" t="s">
        <v>2874</v>
      </c>
    </row>
    <row r="544" spans="2:16" ht="29" x14ac:dyDescent="0.35">
      <c r="B544" s="35" t="s">
        <v>3348</v>
      </c>
      <c r="C544" s="80" t="s">
        <v>3954</v>
      </c>
      <c r="D544" s="36">
        <v>44781</v>
      </c>
      <c r="E544" s="36">
        <v>45093</v>
      </c>
      <c r="F544" s="36">
        <v>45823</v>
      </c>
      <c r="G544" s="64" t="s">
        <v>6</v>
      </c>
      <c r="H544" s="43" t="s">
        <v>3955</v>
      </c>
      <c r="I544" s="35" t="s">
        <v>2514</v>
      </c>
      <c r="J544" s="43" t="s">
        <v>4655</v>
      </c>
      <c r="K544" s="43" t="s">
        <v>3555</v>
      </c>
      <c r="L544" s="30">
        <v>50000</v>
      </c>
      <c r="M544" s="30">
        <v>0</v>
      </c>
      <c r="N544" s="30">
        <v>0</v>
      </c>
      <c r="O544" s="30">
        <f t="shared" si="9"/>
        <v>50000</v>
      </c>
      <c r="P544" s="44" t="s">
        <v>2874</v>
      </c>
    </row>
    <row r="545" spans="2:16" ht="29" x14ac:dyDescent="0.35">
      <c r="B545" s="35" t="s">
        <v>3348</v>
      </c>
      <c r="C545" s="80" t="s">
        <v>3956</v>
      </c>
      <c r="D545" s="36">
        <v>44781</v>
      </c>
      <c r="E545" s="36">
        <v>45093</v>
      </c>
      <c r="F545" s="36">
        <v>45823</v>
      </c>
      <c r="G545" s="64" t="s">
        <v>6</v>
      </c>
      <c r="H545" s="43" t="s">
        <v>3957</v>
      </c>
      <c r="I545" s="35" t="s">
        <v>2481</v>
      </c>
      <c r="J545" s="43" t="s">
        <v>3804</v>
      </c>
      <c r="K545" s="43" t="s">
        <v>3555</v>
      </c>
      <c r="L545" s="30">
        <v>50000</v>
      </c>
      <c r="M545" s="30">
        <v>0</v>
      </c>
      <c r="N545" s="30">
        <f>19121.27+3200+18122</f>
        <v>40443.270000000004</v>
      </c>
      <c r="O545" s="30">
        <f t="shared" si="9"/>
        <v>9556.7299999999959</v>
      </c>
      <c r="P545" s="44" t="s">
        <v>2874</v>
      </c>
    </row>
    <row r="546" spans="2:16" ht="29" x14ac:dyDescent="0.35">
      <c r="B546" s="35" t="s">
        <v>3348</v>
      </c>
      <c r="C546" s="80" t="s">
        <v>3958</v>
      </c>
      <c r="D546" s="36">
        <v>44781</v>
      </c>
      <c r="E546" s="36">
        <v>45093</v>
      </c>
      <c r="F546" s="36">
        <v>45823</v>
      </c>
      <c r="G546" s="64" t="s">
        <v>6</v>
      </c>
      <c r="H546" s="43" t="s">
        <v>3959</v>
      </c>
      <c r="I546" s="35" t="s">
        <v>3177</v>
      </c>
      <c r="J546" s="43" t="s">
        <v>4636</v>
      </c>
      <c r="K546" s="43" t="s">
        <v>3555</v>
      </c>
      <c r="L546" s="30">
        <v>50000</v>
      </c>
      <c r="M546" s="30">
        <v>0</v>
      </c>
      <c r="N546" s="30">
        <f>9765+1800+4500</f>
        <v>16065</v>
      </c>
      <c r="O546" s="30">
        <f t="shared" si="9"/>
        <v>33935</v>
      </c>
      <c r="P546" s="44" t="s">
        <v>2874</v>
      </c>
    </row>
    <row r="547" spans="2:16" ht="29" x14ac:dyDescent="0.35">
      <c r="B547" s="35" t="s">
        <v>3348</v>
      </c>
      <c r="C547" s="80" t="s">
        <v>3960</v>
      </c>
      <c r="D547" s="36">
        <v>44781</v>
      </c>
      <c r="E547" s="36">
        <v>45093</v>
      </c>
      <c r="F547" s="36">
        <v>45823</v>
      </c>
      <c r="G547" s="64" t="s">
        <v>6</v>
      </c>
      <c r="H547" s="43" t="s">
        <v>3961</v>
      </c>
      <c r="I547" s="35" t="s">
        <v>3334</v>
      </c>
      <c r="J547" s="43" t="s">
        <v>4069</v>
      </c>
      <c r="K547" s="43" t="s">
        <v>3555</v>
      </c>
      <c r="L547" s="30">
        <v>50000</v>
      </c>
      <c r="M547" s="30">
        <v>0</v>
      </c>
      <c r="N547" s="30">
        <f>3553.92</f>
        <v>3553.92</v>
      </c>
      <c r="O547" s="30">
        <f t="shared" si="9"/>
        <v>46446.080000000002</v>
      </c>
      <c r="P547" s="44" t="s">
        <v>2874</v>
      </c>
    </row>
    <row r="548" spans="2:16" x14ac:dyDescent="0.35">
      <c r="B548" s="35" t="s">
        <v>3963</v>
      </c>
      <c r="C548" s="80" t="s">
        <v>4074</v>
      </c>
      <c r="D548" s="36">
        <v>44781</v>
      </c>
      <c r="E548" s="36">
        <v>45099</v>
      </c>
      <c r="F548" s="36">
        <v>46418</v>
      </c>
      <c r="G548" s="64" t="s">
        <v>6</v>
      </c>
      <c r="H548" s="43" t="s">
        <v>4075</v>
      </c>
      <c r="I548" s="35" t="s">
        <v>2488</v>
      </c>
      <c r="J548" s="43" t="s">
        <v>5236</v>
      </c>
      <c r="K548" s="43" t="s">
        <v>3181</v>
      </c>
      <c r="L548" s="30">
        <v>40000</v>
      </c>
      <c r="M548" s="30">
        <v>0</v>
      </c>
      <c r="N548" s="30">
        <f>15000+5000</f>
        <v>20000</v>
      </c>
      <c r="O548" s="30">
        <f t="shared" si="9"/>
        <v>20000</v>
      </c>
      <c r="P548" s="44" t="s">
        <v>2874</v>
      </c>
    </row>
    <row r="549" spans="2:16" x14ac:dyDescent="0.35">
      <c r="B549" s="35" t="s">
        <v>3963</v>
      </c>
      <c r="C549" s="80" t="s">
        <v>4076</v>
      </c>
      <c r="D549" s="36">
        <v>44781</v>
      </c>
      <c r="E549" s="36">
        <v>45099</v>
      </c>
      <c r="F549" s="36">
        <v>46418</v>
      </c>
      <c r="G549" s="64" t="s">
        <v>6</v>
      </c>
      <c r="H549" s="43" t="s">
        <v>4077</v>
      </c>
      <c r="I549" s="35" t="s">
        <v>2502</v>
      </c>
      <c r="J549" s="43" t="s">
        <v>5236</v>
      </c>
      <c r="K549" s="43" t="s">
        <v>3181</v>
      </c>
      <c r="L549" s="30">
        <v>40000</v>
      </c>
      <c r="M549" s="30">
        <v>0</v>
      </c>
      <c r="N549" s="30">
        <f>5000*2+5000</f>
        <v>15000</v>
      </c>
      <c r="O549" s="30">
        <f t="shared" si="9"/>
        <v>25000</v>
      </c>
      <c r="P549" s="44" t="s">
        <v>2874</v>
      </c>
    </row>
    <row r="550" spans="2:16" x14ac:dyDescent="0.35">
      <c r="B550" s="35" t="s">
        <v>3963</v>
      </c>
      <c r="C550" s="80" t="s">
        <v>4079</v>
      </c>
      <c r="D550" s="36">
        <v>44781</v>
      </c>
      <c r="E550" s="36">
        <v>45099</v>
      </c>
      <c r="F550" s="36">
        <v>46418</v>
      </c>
      <c r="G550" s="64" t="s">
        <v>6</v>
      </c>
      <c r="H550" s="43" t="s">
        <v>4078</v>
      </c>
      <c r="I550" s="35" t="s">
        <v>2804</v>
      </c>
      <c r="J550" s="43" t="s">
        <v>5236</v>
      </c>
      <c r="K550" s="43" t="s">
        <v>3181</v>
      </c>
      <c r="L550" s="30">
        <v>40000</v>
      </c>
      <c r="M550" s="30">
        <v>0</v>
      </c>
      <c r="N550" s="30">
        <f>5000*2+5000+5000</f>
        <v>20000</v>
      </c>
      <c r="O550" s="30">
        <f t="shared" si="9"/>
        <v>20000</v>
      </c>
      <c r="P550" s="44" t="s">
        <v>2874</v>
      </c>
    </row>
    <row r="551" spans="2:16" x14ac:dyDescent="0.35">
      <c r="B551" s="35" t="s">
        <v>3963</v>
      </c>
      <c r="C551" s="80" t="s">
        <v>4080</v>
      </c>
      <c r="D551" s="36">
        <v>44781</v>
      </c>
      <c r="E551" s="36">
        <v>45099</v>
      </c>
      <c r="F551" s="36">
        <v>45688</v>
      </c>
      <c r="G551" s="64" t="s">
        <v>6</v>
      </c>
      <c r="H551" s="43" t="s">
        <v>4081</v>
      </c>
      <c r="I551" s="35" t="s">
        <v>6036</v>
      </c>
      <c r="J551" s="43" t="s">
        <v>5236</v>
      </c>
      <c r="K551" s="43" t="s">
        <v>3181</v>
      </c>
      <c r="L551" s="30">
        <v>20000</v>
      </c>
      <c r="M551" s="30">
        <v>0</v>
      </c>
      <c r="N551" s="30">
        <f>5000*2+5000+5000</f>
        <v>20000</v>
      </c>
      <c r="O551" s="30">
        <f t="shared" si="9"/>
        <v>0</v>
      </c>
      <c r="P551" s="44" t="s">
        <v>2874</v>
      </c>
    </row>
    <row r="552" spans="2:16" x14ac:dyDescent="0.35">
      <c r="B552" s="35" t="s">
        <v>3963</v>
      </c>
      <c r="C552" s="80" t="s">
        <v>4082</v>
      </c>
      <c r="D552" s="36">
        <v>44781</v>
      </c>
      <c r="E552" s="36">
        <v>45099</v>
      </c>
      <c r="F552" s="36">
        <v>46418</v>
      </c>
      <c r="G552" s="64" t="s">
        <v>6</v>
      </c>
      <c r="H552" s="43" t="s">
        <v>4083</v>
      </c>
      <c r="I552" s="35"/>
      <c r="J552" s="43" t="s">
        <v>5236</v>
      </c>
      <c r="K552" s="43" t="s">
        <v>3181</v>
      </c>
      <c r="L552" s="30">
        <v>40000</v>
      </c>
      <c r="M552" s="30">
        <v>0</v>
      </c>
      <c r="N552" s="30">
        <f>5000+5000+5000</f>
        <v>15000</v>
      </c>
      <c r="O552" s="30">
        <f t="shared" si="9"/>
        <v>25000</v>
      </c>
      <c r="P552" s="44" t="s">
        <v>2874</v>
      </c>
    </row>
    <row r="553" spans="2:16" x14ac:dyDescent="0.35">
      <c r="B553" s="35" t="s">
        <v>3963</v>
      </c>
      <c r="C553" s="80" t="s">
        <v>4084</v>
      </c>
      <c r="D553" s="36">
        <v>44781</v>
      </c>
      <c r="E553" s="36">
        <v>45099</v>
      </c>
      <c r="F553" s="36">
        <v>46053</v>
      </c>
      <c r="G553" s="64" t="s">
        <v>6</v>
      </c>
      <c r="H553" s="43" t="s">
        <v>4085</v>
      </c>
      <c r="I553" s="35" t="s">
        <v>2480</v>
      </c>
      <c r="J553" s="43" t="s">
        <v>5236</v>
      </c>
      <c r="K553" s="43" t="s">
        <v>3181</v>
      </c>
      <c r="L553" s="30">
        <v>30000</v>
      </c>
      <c r="M553" s="30">
        <v>0</v>
      </c>
      <c r="N553" s="30">
        <f>5000*2+5000+5000</f>
        <v>20000</v>
      </c>
      <c r="O553" s="30">
        <f t="shared" si="9"/>
        <v>10000</v>
      </c>
      <c r="P553" s="44" t="s">
        <v>2874</v>
      </c>
    </row>
    <row r="554" spans="2:16" x14ac:dyDescent="0.35">
      <c r="B554" s="35" t="s">
        <v>3801</v>
      </c>
      <c r="C554" s="80" t="s">
        <v>3725</v>
      </c>
      <c r="D554" s="36">
        <v>44412</v>
      </c>
      <c r="E554" s="36">
        <v>45103</v>
      </c>
      <c r="F554" s="36">
        <v>45291</v>
      </c>
      <c r="G554" s="64" t="s">
        <v>6</v>
      </c>
      <c r="H554" s="43" t="s">
        <v>3276</v>
      </c>
      <c r="I554" s="35" t="s">
        <v>2480</v>
      </c>
      <c r="J554" s="43" t="s">
        <v>2530</v>
      </c>
      <c r="K554" s="43" t="s">
        <v>3181</v>
      </c>
      <c r="L554" s="49">
        <v>67200</v>
      </c>
      <c r="M554" s="49">
        <v>0</v>
      </c>
      <c r="N554" s="49">
        <v>46720</v>
      </c>
      <c r="O554" s="30">
        <f t="shared" si="9"/>
        <v>20480</v>
      </c>
      <c r="P554" s="27" t="s">
        <v>2874</v>
      </c>
    </row>
    <row r="555" spans="2:16" x14ac:dyDescent="0.35">
      <c r="B555" s="39" t="s">
        <v>3418</v>
      </c>
      <c r="C555" s="80" t="s">
        <v>3859</v>
      </c>
      <c r="D555" s="40">
        <v>44840</v>
      </c>
      <c r="E555" s="36">
        <v>45103</v>
      </c>
      <c r="F555" s="36">
        <v>46929</v>
      </c>
      <c r="G555" s="64" t="s">
        <v>6</v>
      </c>
      <c r="H555" s="38" t="s">
        <v>3151</v>
      </c>
      <c r="I555" s="35" t="s">
        <v>2480</v>
      </c>
      <c r="J555" s="38" t="s">
        <v>3153</v>
      </c>
      <c r="K555" s="38" t="s">
        <v>2583</v>
      </c>
      <c r="L555" s="30">
        <v>18000</v>
      </c>
      <c r="M555" s="30">
        <v>0</v>
      </c>
      <c r="N555" s="30">
        <v>0</v>
      </c>
      <c r="O555" s="30">
        <f t="shared" si="9"/>
        <v>18000</v>
      </c>
      <c r="P555" s="44">
        <v>1.54</v>
      </c>
    </row>
    <row r="556" spans="2:16" x14ac:dyDescent="0.35">
      <c r="B556" s="39" t="s">
        <v>3419</v>
      </c>
      <c r="C556" s="80" t="s">
        <v>3860</v>
      </c>
      <c r="D556" s="40">
        <v>44840</v>
      </c>
      <c r="E556" s="36">
        <v>45103</v>
      </c>
      <c r="F556" s="36">
        <v>46929</v>
      </c>
      <c r="G556" s="64" t="s">
        <v>6</v>
      </c>
      <c r="H556" s="38" t="s">
        <v>3151</v>
      </c>
      <c r="I556" s="35" t="s">
        <v>2480</v>
      </c>
      <c r="J556" s="38" t="s">
        <v>3153</v>
      </c>
      <c r="K556" s="38" t="s">
        <v>2586</v>
      </c>
      <c r="L556" s="30">
        <v>232000</v>
      </c>
      <c r="M556" s="30">
        <v>0</v>
      </c>
      <c r="N556" s="30">
        <v>163865.23000000001</v>
      </c>
      <c r="O556" s="30">
        <f t="shared" si="9"/>
        <v>68134.76999999999</v>
      </c>
      <c r="P556" s="44">
        <v>1.54</v>
      </c>
    </row>
    <row r="557" spans="2:16" ht="58" x14ac:dyDescent="0.35">
      <c r="B557" s="39" t="s">
        <v>3424</v>
      </c>
      <c r="C557" s="80" t="s">
        <v>3904</v>
      </c>
      <c r="D557" s="40">
        <v>44910</v>
      </c>
      <c r="E557" s="36">
        <v>45103</v>
      </c>
      <c r="F557" s="36">
        <v>46817</v>
      </c>
      <c r="G557" s="64" t="s">
        <v>6</v>
      </c>
      <c r="H557" s="38" t="s">
        <v>3429</v>
      </c>
      <c r="I557" s="35" t="s">
        <v>2534</v>
      </c>
      <c r="J557" s="38" t="s">
        <v>4590</v>
      </c>
      <c r="K557" s="38" t="s">
        <v>2586</v>
      </c>
      <c r="L557" s="45">
        <v>20000</v>
      </c>
      <c r="M557" s="30">
        <v>0</v>
      </c>
      <c r="N557" s="30">
        <v>7756.36</v>
      </c>
      <c r="O557" s="30">
        <f t="shared" si="9"/>
        <v>12243.64</v>
      </c>
      <c r="P557" s="44">
        <v>71.95</v>
      </c>
    </row>
    <row r="558" spans="2:16" ht="29" x14ac:dyDescent="0.35">
      <c r="B558" s="39" t="s">
        <v>3442</v>
      </c>
      <c r="C558" s="80" t="s">
        <v>3858</v>
      </c>
      <c r="D558" s="40">
        <v>44917</v>
      </c>
      <c r="E558" s="36">
        <v>45103</v>
      </c>
      <c r="F558" s="36">
        <v>46929</v>
      </c>
      <c r="G558" s="64" t="s">
        <v>6</v>
      </c>
      <c r="H558" s="38" t="s">
        <v>3449</v>
      </c>
      <c r="I558" s="35" t="s">
        <v>2484</v>
      </c>
      <c r="J558" s="38" t="s">
        <v>4602</v>
      </c>
      <c r="K558" s="38" t="s">
        <v>2586</v>
      </c>
      <c r="L558" s="45">
        <v>51283</v>
      </c>
      <c r="M558" s="30">
        <v>0</v>
      </c>
      <c r="N558" s="30">
        <v>0</v>
      </c>
      <c r="O558" s="30">
        <f t="shared" si="9"/>
        <v>51283</v>
      </c>
      <c r="P558" s="44">
        <v>5.37</v>
      </c>
    </row>
    <row r="559" spans="2:16" x14ac:dyDescent="0.35">
      <c r="B559" s="39" t="s">
        <v>3486</v>
      </c>
      <c r="C559" s="80" t="s">
        <v>3863</v>
      </c>
      <c r="D559" s="40">
        <v>44981</v>
      </c>
      <c r="E559" s="36">
        <v>45103</v>
      </c>
      <c r="F559" s="36">
        <v>46929</v>
      </c>
      <c r="G559" s="64" t="s">
        <v>6</v>
      </c>
      <c r="H559" s="38" t="s">
        <v>3490</v>
      </c>
      <c r="I559" s="39" t="s">
        <v>2506</v>
      </c>
      <c r="J559" s="38" t="s">
        <v>4607</v>
      </c>
      <c r="K559" s="38" t="s">
        <v>2583</v>
      </c>
      <c r="L559" s="45">
        <v>15000</v>
      </c>
      <c r="M559" s="30">
        <v>0</v>
      </c>
      <c r="N559" s="30">
        <f>5250+5250</f>
        <v>10500</v>
      </c>
      <c r="O559" s="30">
        <f t="shared" si="9"/>
        <v>4500</v>
      </c>
      <c r="P559" s="44">
        <v>2.72</v>
      </c>
    </row>
    <row r="560" spans="2:16" x14ac:dyDescent="0.35">
      <c r="B560" s="39" t="s">
        <v>3660</v>
      </c>
      <c r="C560" s="80" t="s">
        <v>3861</v>
      </c>
      <c r="D560" s="40">
        <v>44972</v>
      </c>
      <c r="E560" s="36">
        <v>45103</v>
      </c>
      <c r="F560" s="36">
        <v>46929</v>
      </c>
      <c r="G560" s="64" t="s">
        <v>6</v>
      </c>
      <c r="H560" s="38" t="s">
        <v>3663</v>
      </c>
      <c r="I560" s="35" t="s">
        <v>2491</v>
      </c>
      <c r="J560" s="38" t="s">
        <v>4625</v>
      </c>
      <c r="K560" s="38" t="s">
        <v>2583</v>
      </c>
      <c r="L560" s="45">
        <v>25500</v>
      </c>
      <c r="M560" s="30">
        <v>0</v>
      </c>
      <c r="N560" s="30">
        <v>0</v>
      </c>
      <c r="O560" s="30">
        <f t="shared" si="9"/>
        <v>25500</v>
      </c>
      <c r="P560" s="44">
        <v>12.31</v>
      </c>
    </row>
    <row r="561" spans="2:16" x14ac:dyDescent="0.35">
      <c r="B561" s="39" t="s">
        <v>3661</v>
      </c>
      <c r="C561" s="80" t="s">
        <v>3862</v>
      </c>
      <c r="D561" s="40">
        <v>44972</v>
      </c>
      <c r="E561" s="36">
        <v>45103</v>
      </c>
      <c r="F561" s="36">
        <v>46929</v>
      </c>
      <c r="G561" s="64" t="s">
        <v>6</v>
      </c>
      <c r="H561" s="38" t="s">
        <v>3663</v>
      </c>
      <c r="I561" s="35" t="s">
        <v>2491</v>
      </c>
      <c r="J561" s="38" t="s">
        <v>4625</v>
      </c>
      <c r="K561" s="38" t="s">
        <v>2586</v>
      </c>
      <c r="L561" s="45">
        <v>77427</v>
      </c>
      <c r="M561" s="30">
        <v>0</v>
      </c>
      <c r="N561" s="30">
        <v>38634.839999999997</v>
      </c>
      <c r="O561" s="30">
        <f t="shared" si="9"/>
        <v>38792.160000000003</v>
      </c>
      <c r="P561" s="44">
        <v>12.31</v>
      </c>
    </row>
    <row r="562" spans="2:16" x14ac:dyDescent="0.35">
      <c r="B562" s="39" t="s">
        <v>3669</v>
      </c>
      <c r="C562" s="80" t="s">
        <v>3857</v>
      </c>
      <c r="D562" s="40">
        <v>45061</v>
      </c>
      <c r="E562" s="36">
        <v>45103</v>
      </c>
      <c r="F562" s="36">
        <v>46198</v>
      </c>
      <c r="G562" s="64" t="s">
        <v>6</v>
      </c>
      <c r="H562" s="38" t="s">
        <v>3674</v>
      </c>
      <c r="I562" s="35" t="s">
        <v>2503</v>
      </c>
      <c r="J562" s="38" t="s">
        <v>4627</v>
      </c>
      <c r="K562" s="38" t="s">
        <v>2583</v>
      </c>
      <c r="L562" s="45">
        <v>11250</v>
      </c>
      <c r="M562" s="30">
        <v>0</v>
      </c>
      <c r="N562" s="30">
        <v>7875</v>
      </c>
      <c r="O562" s="30">
        <f t="shared" si="9"/>
        <v>3375</v>
      </c>
      <c r="P562" s="44">
        <v>4.29</v>
      </c>
    </row>
    <row r="563" spans="2:16" x14ac:dyDescent="0.35">
      <c r="B563" s="35" t="s">
        <v>3379</v>
      </c>
      <c r="C563" s="80" t="s">
        <v>3855</v>
      </c>
      <c r="D563" s="36">
        <v>44781</v>
      </c>
      <c r="E563" s="36">
        <v>45103</v>
      </c>
      <c r="F563" s="36">
        <v>46198</v>
      </c>
      <c r="G563" s="64" t="s">
        <v>6</v>
      </c>
      <c r="H563" s="43" t="s">
        <v>3856</v>
      </c>
      <c r="I563" s="35" t="s">
        <v>2492</v>
      </c>
      <c r="J563" s="43" t="s">
        <v>4646</v>
      </c>
      <c r="K563" s="43" t="s">
        <v>3384</v>
      </c>
      <c r="L563" s="30">
        <v>40000</v>
      </c>
      <c r="M563" s="30">
        <v>0</v>
      </c>
      <c r="N563" s="30">
        <v>20000</v>
      </c>
      <c r="O563" s="30">
        <f t="shared" si="9"/>
        <v>20000</v>
      </c>
      <c r="P563" s="44" t="s">
        <v>2874</v>
      </c>
    </row>
    <row r="564" spans="2:16" ht="29" x14ac:dyDescent="0.35">
      <c r="B564" s="35" t="s">
        <v>3688</v>
      </c>
      <c r="C564" s="80" t="s">
        <v>3918</v>
      </c>
      <c r="D564" s="36">
        <v>44781</v>
      </c>
      <c r="E564" s="36">
        <v>45106</v>
      </c>
      <c r="F564" s="36">
        <v>45471</v>
      </c>
      <c r="G564" s="64" t="s">
        <v>6</v>
      </c>
      <c r="H564" s="43" t="s">
        <v>3919</v>
      </c>
      <c r="I564" s="35" t="s">
        <v>2473</v>
      </c>
      <c r="J564" s="43" t="s">
        <v>4061</v>
      </c>
      <c r="K564" s="43" t="s">
        <v>3689</v>
      </c>
      <c r="L564" s="30">
        <v>15123</v>
      </c>
      <c r="M564" s="30">
        <v>0</v>
      </c>
      <c r="N564" s="30">
        <f>8932.93+6190.07</f>
        <v>15123</v>
      </c>
      <c r="O564" s="30">
        <f t="shared" si="9"/>
        <v>0</v>
      </c>
      <c r="P564" s="44" t="s">
        <v>2874</v>
      </c>
    </row>
    <row r="565" spans="2:16" x14ac:dyDescent="0.35">
      <c r="B565" s="35" t="s">
        <v>3525</v>
      </c>
      <c r="C565" s="80" t="s">
        <v>3965</v>
      </c>
      <c r="D565" s="36">
        <v>44781</v>
      </c>
      <c r="E565" s="36">
        <v>45106</v>
      </c>
      <c r="F565" s="36">
        <v>45654</v>
      </c>
      <c r="G565" s="64" t="s">
        <v>6</v>
      </c>
      <c r="H565" s="43" t="s">
        <v>1685</v>
      </c>
      <c r="I565" s="39" t="s">
        <v>2474</v>
      </c>
      <c r="J565" s="43" t="s">
        <v>4521</v>
      </c>
      <c r="K565" s="43" t="s">
        <v>3417</v>
      </c>
      <c r="L565" s="30">
        <v>50000</v>
      </c>
      <c r="M565" s="30">
        <v>0</v>
      </c>
      <c r="N565" s="30">
        <v>0</v>
      </c>
      <c r="O565" s="30">
        <f t="shared" si="9"/>
        <v>50000</v>
      </c>
      <c r="P565" s="44" t="s">
        <v>2874</v>
      </c>
    </row>
    <row r="566" spans="2:16" x14ac:dyDescent="0.35">
      <c r="B566" s="35" t="s">
        <v>3525</v>
      </c>
      <c r="C566" s="80" t="s">
        <v>3966</v>
      </c>
      <c r="D566" s="36">
        <v>44781</v>
      </c>
      <c r="E566" s="36">
        <v>45106</v>
      </c>
      <c r="F566" s="36">
        <v>45654</v>
      </c>
      <c r="G566" s="64" t="s">
        <v>6</v>
      </c>
      <c r="H566" s="43" t="s">
        <v>3967</v>
      </c>
      <c r="I566" s="39" t="s">
        <v>2528</v>
      </c>
      <c r="J566" s="43" t="s">
        <v>2698</v>
      </c>
      <c r="K566" s="43" t="s">
        <v>3417</v>
      </c>
      <c r="L566" s="30">
        <v>50000</v>
      </c>
      <c r="M566" s="30">
        <v>0</v>
      </c>
      <c r="N566" s="30">
        <v>0</v>
      </c>
      <c r="O566" s="30">
        <f t="shared" si="9"/>
        <v>50000</v>
      </c>
      <c r="P566" s="44" t="s">
        <v>2874</v>
      </c>
    </row>
    <row r="567" spans="2:16" ht="29" x14ac:dyDescent="0.35">
      <c r="B567" s="35" t="s">
        <v>3461</v>
      </c>
      <c r="C567" s="80" t="s">
        <v>3839</v>
      </c>
      <c r="D567" s="36">
        <v>44781</v>
      </c>
      <c r="E567" s="36">
        <v>45107</v>
      </c>
      <c r="F567" s="36">
        <v>45291</v>
      </c>
      <c r="G567" s="64" t="s">
        <v>6</v>
      </c>
      <c r="H567" s="43" t="s">
        <v>3606</v>
      </c>
      <c r="I567" s="35" t="s">
        <v>2520</v>
      </c>
      <c r="J567" s="38" t="s">
        <v>4619</v>
      </c>
      <c r="K567" s="38" t="s">
        <v>2584</v>
      </c>
      <c r="L567" s="30">
        <v>10000</v>
      </c>
      <c r="M567" s="30">
        <v>0</v>
      </c>
      <c r="N567" s="30">
        <v>0</v>
      </c>
      <c r="O567" s="30">
        <f t="shared" si="9"/>
        <v>10000</v>
      </c>
      <c r="P567" s="43" t="s">
        <v>3556</v>
      </c>
    </row>
    <row r="568" spans="2:16" ht="29" x14ac:dyDescent="0.35">
      <c r="B568" s="35" t="s">
        <v>3461</v>
      </c>
      <c r="C568" s="80" t="s">
        <v>3840</v>
      </c>
      <c r="D568" s="36">
        <v>44781</v>
      </c>
      <c r="E568" s="36">
        <v>45107</v>
      </c>
      <c r="F568" s="36">
        <v>45291</v>
      </c>
      <c r="G568" s="64" t="s">
        <v>6</v>
      </c>
      <c r="H568" s="43" t="s">
        <v>3542</v>
      </c>
      <c r="I568" s="35" t="s">
        <v>3334</v>
      </c>
      <c r="J568" s="38" t="s">
        <v>4619</v>
      </c>
      <c r="K568" s="38" t="s">
        <v>2584</v>
      </c>
      <c r="L568" s="30">
        <v>10000</v>
      </c>
      <c r="M568" s="30">
        <v>0</v>
      </c>
      <c r="N568" s="30">
        <v>0</v>
      </c>
      <c r="O568" s="30">
        <f t="shared" si="9"/>
        <v>10000</v>
      </c>
      <c r="P568" s="43" t="s">
        <v>3556</v>
      </c>
    </row>
    <row r="569" spans="2:16" x14ac:dyDescent="0.35">
      <c r="B569" s="39" t="s">
        <v>3671</v>
      </c>
      <c r="C569" s="80" t="s">
        <v>3865</v>
      </c>
      <c r="D569" s="40">
        <v>45061</v>
      </c>
      <c r="E569" s="36">
        <v>45107</v>
      </c>
      <c r="F569" s="36">
        <v>46933</v>
      </c>
      <c r="G569" s="64" t="s">
        <v>6</v>
      </c>
      <c r="H569" s="38" t="s">
        <v>3675</v>
      </c>
      <c r="I569" s="35" t="s">
        <v>2507</v>
      </c>
      <c r="J569" s="38" t="s">
        <v>4559</v>
      </c>
      <c r="K569" s="38" t="s">
        <v>2583</v>
      </c>
      <c r="L569" s="45">
        <v>2100</v>
      </c>
      <c r="M569" s="30">
        <v>0</v>
      </c>
      <c r="N569" s="30">
        <v>0</v>
      </c>
      <c r="O569" s="30">
        <f t="shared" si="9"/>
        <v>2100</v>
      </c>
      <c r="P569" s="44">
        <v>4.5</v>
      </c>
    </row>
    <row r="570" spans="2:16" x14ac:dyDescent="0.35">
      <c r="B570" s="39" t="s">
        <v>3672</v>
      </c>
      <c r="C570" s="80" t="s">
        <v>3866</v>
      </c>
      <c r="D570" s="40">
        <v>45061</v>
      </c>
      <c r="E570" s="36">
        <v>45107</v>
      </c>
      <c r="F570" s="36">
        <v>46933</v>
      </c>
      <c r="G570" s="64" t="s">
        <v>6</v>
      </c>
      <c r="H570" s="38" t="s">
        <v>3675</v>
      </c>
      <c r="I570" s="35" t="s">
        <v>2507</v>
      </c>
      <c r="J570" s="38" t="s">
        <v>4559</v>
      </c>
      <c r="K570" s="38" t="s">
        <v>2586</v>
      </c>
      <c r="L570" s="45">
        <v>80631</v>
      </c>
      <c r="M570" s="30">
        <v>0</v>
      </c>
      <c r="N570" s="30">
        <v>0</v>
      </c>
      <c r="O570" s="30">
        <f t="shared" si="9"/>
        <v>80631</v>
      </c>
      <c r="P570" s="44">
        <v>4.5</v>
      </c>
    </row>
    <row r="571" spans="2:16" x14ac:dyDescent="0.35">
      <c r="B571" s="39" t="s">
        <v>3711</v>
      </c>
      <c r="C571" s="80" t="s">
        <v>3873</v>
      </c>
      <c r="D571" s="40">
        <v>45050</v>
      </c>
      <c r="E571" s="36">
        <v>45107</v>
      </c>
      <c r="F571" s="36">
        <v>46933</v>
      </c>
      <c r="G571" s="64" t="s">
        <v>6</v>
      </c>
      <c r="H571" s="38" t="s">
        <v>3714</v>
      </c>
      <c r="I571" s="35" t="s">
        <v>2487</v>
      </c>
      <c r="J571" s="38" t="s">
        <v>3800</v>
      </c>
      <c r="K571" s="38" t="s">
        <v>2583</v>
      </c>
      <c r="L571" s="45">
        <v>22500</v>
      </c>
      <c r="M571" s="30">
        <v>0</v>
      </c>
      <c r="N571" s="30">
        <v>11250</v>
      </c>
      <c r="O571" s="30">
        <f t="shared" si="9"/>
        <v>11250</v>
      </c>
      <c r="P571" s="44">
        <v>1.19</v>
      </c>
    </row>
    <row r="572" spans="2:16" x14ac:dyDescent="0.35">
      <c r="B572" s="39" t="s">
        <v>3712</v>
      </c>
      <c r="C572" s="80" t="s">
        <v>3874</v>
      </c>
      <c r="D572" s="40">
        <v>45050</v>
      </c>
      <c r="E572" s="36">
        <v>45107</v>
      </c>
      <c r="F572" s="36">
        <v>46934</v>
      </c>
      <c r="G572" s="64" t="s">
        <v>6</v>
      </c>
      <c r="H572" s="38" t="s">
        <v>3714</v>
      </c>
      <c r="I572" s="35" t="s">
        <v>2487</v>
      </c>
      <c r="J572" s="38" t="s">
        <v>3800</v>
      </c>
      <c r="K572" s="38" t="s">
        <v>2586</v>
      </c>
      <c r="L572" s="45">
        <v>100000</v>
      </c>
      <c r="M572" s="30">
        <v>0</v>
      </c>
      <c r="N572" s="30">
        <v>0</v>
      </c>
      <c r="O572" s="30">
        <f t="shared" si="9"/>
        <v>100000</v>
      </c>
      <c r="P572" s="44">
        <v>1.19</v>
      </c>
    </row>
    <row r="573" spans="2:16" x14ac:dyDescent="0.35">
      <c r="B573" s="39" t="s">
        <v>3713</v>
      </c>
      <c r="C573" s="80" t="s">
        <v>3875</v>
      </c>
      <c r="D573" s="40">
        <v>45050</v>
      </c>
      <c r="E573" s="36">
        <v>45107</v>
      </c>
      <c r="F573" s="36">
        <v>46933</v>
      </c>
      <c r="G573" s="64" t="s">
        <v>6</v>
      </c>
      <c r="H573" s="38" t="s">
        <v>3714</v>
      </c>
      <c r="I573" s="35" t="s">
        <v>2487</v>
      </c>
      <c r="J573" s="38" t="s">
        <v>3800</v>
      </c>
      <c r="K573" s="38" t="s">
        <v>2585</v>
      </c>
      <c r="L573" s="45">
        <v>100000</v>
      </c>
      <c r="M573" s="30">
        <v>0</v>
      </c>
      <c r="N573" s="30">
        <v>0</v>
      </c>
      <c r="O573" s="30">
        <f t="shared" si="9"/>
        <v>100000</v>
      </c>
      <c r="P573" s="53">
        <v>1.19</v>
      </c>
    </row>
    <row r="574" spans="2:16" ht="29" x14ac:dyDescent="0.35">
      <c r="B574" s="39" t="s">
        <v>3715</v>
      </c>
      <c r="C574" s="80" t="s">
        <v>3869</v>
      </c>
      <c r="D574" s="40">
        <v>45092</v>
      </c>
      <c r="E574" s="36">
        <v>45107</v>
      </c>
      <c r="F574" s="36">
        <v>46202</v>
      </c>
      <c r="G574" s="64" t="s">
        <v>6</v>
      </c>
      <c r="H574" s="38" t="s">
        <v>3722</v>
      </c>
      <c r="I574" s="35" t="s">
        <v>2520</v>
      </c>
      <c r="J574" s="38" t="s">
        <v>4633</v>
      </c>
      <c r="K574" s="38" t="s">
        <v>2583</v>
      </c>
      <c r="L574" s="45">
        <v>9000</v>
      </c>
      <c r="M574" s="30">
        <v>0</v>
      </c>
      <c r="N574" s="30">
        <f>1500</f>
        <v>1500</v>
      </c>
      <c r="O574" s="30">
        <f t="shared" si="9"/>
        <v>7500</v>
      </c>
      <c r="P574" s="53">
        <v>1.04</v>
      </c>
    </row>
    <row r="575" spans="2:16" ht="29" x14ac:dyDescent="0.35">
      <c r="B575" s="39" t="s">
        <v>3716</v>
      </c>
      <c r="C575" s="80" t="s">
        <v>3870</v>
      </c>
      <c r="D575" s="40">
        <v>45092</v>
      </c>
      <c r="E575" s="36">
        <v>45107</v>
      </c>
      <c r="F575" s="36">
        <v>46933</v>
      </c>
      <c r="G575" s="64" t="s">
        <v>6</v>
      </c>
      <c r="H575" s="38" t="s">
        <v>3722</v>
      </c>
      <c r="I575" s="35" t="s">
        <v>2520</v>
      </c>
      <c r="J575" s="38" t="s">
        <v>4633</v>
      </c>
      <c r="K575" s="38" t="s">
        <v>2586</v>
      </c>
      <c r="L575" s="45">
        <v>65268</v>
      </c>
      <c r="M575" s="30">
        <v>0</v>
      </c>
      <c r="N575" s="30">
        <f>6015.3</f>
        <v>6015.3</v>
      </c>
      <c r="O575" s="30">
        <f t="shared" si="9"/>
        <v>59252.7</v>
      </c>
      <c r="P575" s="53">
        <v>1.04</v>
      </c>
    </row>
    <row r="576" spans="2:16" ht="29" x14ac:dyDescent="0.35">
      <c r="B576" s="39" t="s">
        <v>3717</v>
      </c>
      <c r="C576" s="80" t="s">
        <v>3872</v>
      </c>
      <c r="D576" s="40">
        <v>45092</v>
      </c>
      <c r="E576" s="36">
        <v>45107</v>
      </c>
      <c r="F576" s="36">
        <v>46202</v>
      </c>
      <c r="G576" s="64" t="s">
        <v>6</v>
      </c>
      <c r="H576" s="38" t="s">
        <v>3723</v>
      </c>
      <c r="I576" s="35" t="s">
        <v>2480</v>
      </c>
      <c r="J576" s="38" t="s">
        <v>4634</v>
      </c>
      <c r="K576" s="38" t="s">
        <v>2583</v>
      </c>
      <c r="L576" s="45">
        <v>3000</v>
      </c>
      <c r="M576" s="30">
        <v>0</v>
      </c>
      <c r="N576" s="30">
        <v>0</v>
      </c>
      <c r="O576" s="30">
        <f t="shared" si="9"/>
        <v>3000</v>
      </c>
      <c r="P576" s="53">
        <v>1.24</v>
      </c>
    </row>
    <row r="577" spans="2:18" ht="29" x14ac:dyDescent="0.35">
      <c r="B577" s="39" t="s">
        <v>3718</v>
      </c>
      <c r="C577" s="80" t="s">
        <v>3871</v>
      </c>
      <c r="D577" s="40">
        <v>45092</v>
      </c>
      <c r="E577" s="36">
        <v>45107</v>
      </c>
      <c r="F577" s="36">
        <v>46202</v>
      </c>
      <c r="G577" s="64" t="s">
        <v>6</v>
      </c>
      <c r="H577" s="38" t="s">
        <v>3724</v>
      </c>
      <c r="I577" s="35" t="s">
        <v>2484</v>
      </c>
      <c r="J577" s="38" t="s">
        <v>4635</v>
      </c>
      <c r="K577" s="38" t="s">
        <v>2583</v>
      </c>
      <c r="L577" s="45">
        <v>7500</v>
      </c>
      <c r="M577" s="30">
        <v>0</v>
      </c>
      <c r="N577" s="30">
        <v>0</v>
      </c>
      <c r="O577" s="30">
        <f t="shared" si="9"/>
        <v>7500</v>
      </c>
      <c r="P577" s="53">
        <v>2.5099999999999998</v>
      </c>
    </row>
    <row r="578" spans="2:18" ht="29" x14ac:dyDescent="0.35">
      <c r="B578" s="35" t="s">
        <v>3461</v>
      </c>
      <c r="C578" s="80" t="s">
        <v>3843</v>
      </c>
      <c r="D578" s="36">
        <v>44781</v>
      </c>
      <c r="E578" s="36">
        <v>45107</v>
      </c>
      <c r="F578" s="36">
        <v>45291</v>
      </c>
      <c r="G578" s="64" t="s">
        <v>6</v>
      </c>
      <c r="H578" s="43" t="s">
        <v>45</v>
      </c>
      <c r="I578" s="35" t="s">
        <v>2476</v>
      </c>
      <c r="J578" s="38" t="s">
        <v>4619</v>
      </c>
      <c r="K578" s="38" t="s">
        <v>2584</v>
      </c>
      <c r="L578" s="30">
        <v>10000</v>
      </c>
      <c r="M578" s="30">
        <v>0</v>
      </c>
      <c r="N578" s="30">
        <v>0</v>
      </c>
      <c r="O578" s="30">
        <f t="shared" si="9"/>
        <v>10000</v>
      </c>
      <c r="P578" s="43" t="s">
        <v>3556</v>
      </c>
    </row>
    <row r="579" spans="2:18" x14ac:dyDescent="0.35">
      <c r="B579" s="35" t="s">
        <v>3405</v>
      </c>
      <c r="C579" s="80" t="s">
        <v>3920</v>
      </c>
      <c r="D579" s="36">
        <v>44781</v>
      </c>
      <c r="E579" s="36">
        <v>45107</v>
      </c>
      <c r="F579" s="36">
        <v>45291</v>
      </c>
      <c r="G579" s="64" t="s">
        <v>6</v>
      </c>
      <c r="H579" s="43" t="s">
        <v>3849</v>
      </c>
      <c r="I579" s="35" t="s">
        <v>2480</v>
      </c>
      <c r="J579" s="43" t="s">
        <v>4644</v>
      </c>
      <c r="K579" s="43" t="s">
        <v>3184</v>
      </c>
      <c r="L579" s="30">
        <v>185000</v>
      </c>
      <c r="M579" s="30">
        <v>0</v>
      </c>
      <c r="N579" s="30">
        <f>64629.39+29130+34000+55393.56</f>
        <v>183152.95</v>
      </c>
      <c r="O579" s="30">
        <f t="shared" si="9"/>
        <v>1847.0499999999884</v>
      </c>
      <c r="P579" s="53" t="s">
        <v>2874</v>
      </c>
    </row>
    <row r="580" spans="2:18" x14ac:dyDescent="0.35">
      <c r="B580" s="35" t="s">
        <v>3405</v>
      </c>
      <c r="C580" s="80" t="s">
        <v>3867</v>
      </c>
      <c r="D580" s="36">
        <v>44781</v>
      </c>
      <c r="E580" s="36">
        <v>45107</v>
      </c>
      <c r="F580" s="36">
        <v>45107</v>
      </c>
      <c r="G580" s="64" t="s">
        <v>6</v>
      </c>
      <c r="H580" s="43" t="s">
        <v>3868</v>
      </c>
      <c r="I580" s="35" t="s">
        <v>2529</v>
      </c>
      <c r="J580" s="43" t="s">
        <v>4648</v>
      </c>
      <c r="K580" s="43" t="s">
        <v>3184</v>
      </c>
      <c r="L580" s="30">
        <v>15000</v>
      </c>
      <c r="M580" s="30">
        <v>0</v>
      </c>
      <c r="N580" s="30">
        <v>0</v>
      </c>
      <c r="O580" s="30">
        <f t="shared" ref="O580:O643" si="10">L580-M580-N580</f>
        <v>15000</v>
      </c>
      <c r="P580" s="53" t="s">
        <v>2874</v>
      </c>
    </row>
    <row r="581" spans="2:18" ht="58" x14ac:dyDescent="0.35">
      <c r="B581" s="35" t="s">
        <v>3379</v>
      </c>
      <c r="C581" s="80" t="s">
        <v>3876</v>
      </c>
      <c r="D581" s="36">
        <v>44781</v>
      </c>
      <c r="E581" s="36">
        <v>45107</v>
      </c>
      <c r="F581" s="36">
        <v>46202</v>
      </c>
      <c r="G581" s="64" t="s">
        <v>6</v>
      </c>
      <c r="H581" s="43" t="s">
        <v>3877</v>
      </c>
      <c r="I581" s="35" t="s">
        <v>2484</v>
      </c>
      <c r="J581" s="43" t="s">
        <v>4649</v>
      </c>
      <c r="K581" s="43" t="s">
        <v>3384</v>
      </c>
      <c r="L581" s="30">
        <v>160000</v>
      </c>
      <c r="M581" s="30">
        <v>0</v>
      </c>
      <c r="N581" s="30">
        <v>80000</v>
      </c>
      <c r="O581" s="30">
        <f t="shared" si="10"/>
        <v>80000</v>
      </c>
      <c r="P581" s="53" t="s">
        <v>2874</v>
      </c>
    </row>
    <row r="582" spans="2:18" x14ac:dyDescent="0.35">
      <c r="B582" s="35" t="s">
        <v>3963</v>
      </c>
      <c r="C582" s="80" t="s">
        <v>3962</v>
      </c>
      <c r="D582" s="36">
        <v>44781</v>
      </c>
      <c r="E582" s="36">
        <v>45107</v>
      </c>
      <c r="F582" s="36">
        <v>45900</v>
      </c>
      <c r="G582" s="64" t="s">
        <v>6</v>
      </c>
      <c r="H582" s="43" t="s">
        <v>3964</v>
      </c>
      <c r="I582" s="35" t="s">
        <v>2540</v>
      </c>
      <c r="J582" s="43" t="s">
        <v>5236</v>
      </c>
      <c r="K582" s="43" t="s">
        <v>3181</v>
      </c>
      <c r="L582" s="30">
        <v>20000</v>
      </c>
      <c r="M582" s="30">
        <v>0</v>
      </c>
      <c r="N582" s="30">
        <f>10000+5000</f>
        <v>15000</v>
      </c>
      <c r="O582" s="30">
        <f t="shared" si="10"/>
        <v>5000</v>
      </c>
      <c r="P582" s="53" t="s">
        <v>2874</v>
      </c>
    </row>
    <row r="583" spans="2:18" ht="29" x14ac:dyDescent="0.35">
      <c r="B583" s="35" t="s">
        <v>3348</v>
      </c>
      <c r="C583" s="80" t="s">
        <v>3968</v>
      </c>
      <c r="D583" s="36">
        <v>44781</v>
      </c>
      <c r="E583" s="36">
        <v>45107</v>
      </c>
      <c r="F583" s="36">
        <v>45837</v>
      </c>
      <c r="G583" s="64" t="s">
        <v>6</v>
      </c>
      <c r="H583" s="43" t="s">
        <v>3969</v>
      </c>
      <c r="I583" s="35" t="s">
        <v>2782</v>
      </c>
      <c r="J583" s="43" t="s">
        <v>4636</v>
      </c>
      <c r="K583" s="43" t="s">
        <v>3555</v>
      </c>
      <c r="L583" s="30">
        <v>50000</v>
      </c>
      <c r="M583" s="30">
        <v>0</v>
      </c>
      <c r="N583" s="30">
        <f>12054.54+9078.99</f>
        <v>21133.53</v>
      </c>
      <c r="O583" s="30">
        <f t="shared" si="10"/>
        <v>28866.47</v>
      </c>
      <c r="P583" s="53" t="s">
        <v>2874</v>
      </c>
    </row>
    <row r="584" spans="2:18" ht="29" x14ac:dyDescent="0.35">
      <c r="B584" s="35" t="s">
        <v>3348</v>
      </c>
      <c r="C584" s="80" t="s">
        <v>3970</v>
      </c>
      <c r="D584" s="36">
        <v>44781</v>
      </c>
      <c r="E584" s="36">
        <v>45107</v>
      </c>
      <c r="F584" s="36">
        <v>45837</v>
      </c>
      <c r="G584" s="64" t="s">
        <v>6</v>
      </c>
      <c r="H584" s="43" t="s">
        <v>3971</v>
      </c>
      <c r="I584" s="35" t="s">
        <v>2480</v>
      </c>
      <c r="J584" s="43" t="s">
        <v>4636</v>
      </c>
      <c r="K584" s="43" t="s">
        <v>3555</v>
      </c>
      <c r="L584" s="30">
        <v>50000</v>
      </c>
      <c r="M584" s="30">
        <v>0</v>
      </c>
      <c r="N584" s="30">
        <v>0</v>
      </c>
      <c r="O584" s="30">
        <f t="shared" si="10"/>
        <v>50000</v>
      </c>
      <c r="P584" s="53" t="s">
        <v>2874</v>
      </c>
    </row>
    <row r="585" spans="2:18" ht="29" x14ac:dyDescent="0.35">
      <c r="B585" s="35" t="s">
        <v>3348</v>
      </c>
      <c r="C585" s="80" t="s">
        <v>3972</v>
      </c>
      <c r="D585" s="36">
        <v>44781</v>
      </c>
      <c r="E585" s="36">
        <v>45107</v>
      </c>
      <c r="F585" s="36">
        <v>45837</v>
      </c>
      <c r="G585" s="64" t="s">
        <v>6</v>
      </c>
      <c r="H585" s="43" t="s">
        <v>3973</v>
      </c>
      <c r="I585" s="35" t="s">
        <v>2534</v>
      </c>
      <c r="J585" s="43" t="s">
        <v>4062</v>
      </c>
      <c r="K585" s="43" t="s">
        <v>3555</v>
      </c>
      <c r="L585" s="30">
        <v>50000</v>
      </c>
      <c r="M585" s="30">
        <v>0</v>
      </c>
      <c r="N585" s="30">
        <v>0</v>
      </c>
      <c r="O585" s="30">
        <f t="shared" si="10"/>
        <v>50000</v>
      </c>
      <c r="P585" s="53" t="s">
        <v>2874</v>
      </c>
    </row>
    <row r="586" spans="2:18" ht="29" x14ac:dyDescent="0.35">
      <c r="B586" s="35" t="s">
        <v>3348</v>
      </c>
      <c r="C586" s="80" t="s">
        <v>3974</v>
      </c>
      <c r="D586" s="36">
        <v>44781</v>
      </c>
      <c r="E586" s="36">
        <v>45107</v>
      </c>
      <c r="F586" s="36">
        <v>45837</v>
      </c>
      <c r="G586" s="64" t="s">
        <v>6</v>
      </c>
      <c r="H586" s="43" t="s">
        <v>3975</v>
      </c>
      <c r="I586" s="35" t="s">
        <v>2516</v>
      </c>
      <c r="J586" s="43" t="s">
        <v>4636</v>
      </c>
      <c r="K586" s="43" t="s">
        <v>3555</v>
      </c>
      <c r="L586" s="30">
        <v>50000</v>
      </c>
      <c r="M586" s="30">
        <v>0</v>
      </c>
      <c r="N586" s="30">
        <f>23795+24000</f>
        <v>47795</v>
      </c>
      <c r="O586" s="30">
        <f t="shared" si="10"/>
        <v>2205</v>
      </c>
      <c r="P586" s="53" t="s">
        <v>2874</v>
      </c>
    </row>
    <row r="587" spans="2:18" ht="29" x14ac:dyDescent="0.35">
      <c r="B587" s="35" t="s">
        <v>3348</v>
      </c>
      <c r="C587" s="80" t="s">
        <v>3976</v>
      </c>
      <c r="D587" s="36">
        <v>44781</v>
      </c>
      <c r="E587" s="36">
        <v>45107</v>
      </c>
      <c r="F587" s="36">
        <v>45837</v>
      </c>
      <c r="G587" s="64" t="s">
        <v>6</v>
      </c>
      <c r="H587" s="43" t="s">
        <v>3977</v>
      </c>
      <c r="I587" s="35" t="s">
        <v>2534</v>
      </c>
      <c r="J587" s="43" t="s">
        <v>4636</v>
      </c>
      <c r="K587" s="43" t="s">
        <v>3555</v>
      </c>
      <c r="L587" s="30">
        <v>50000</v>
      </c>
      <c r="M587" s="30">
        <v>0</v>
      </c>
      <c r="N587" s="30">
        <f>3295+850</f>
        <v>4145</v>
      </c>
      <c r="O587" s="30">
        <f t="shared" si="10"/>
        <v>45855</v>
      </c>
      <c r="P587" s="53" t="s">
        <v>2874</v>
      </c>
    </row>
    <row r="588" spans="2:18" ht="29" x14ac:dyDescent="0.35">
      <c r="B588" s="35" t="s">
        <v>3348</v>
      </c>
      <c r="C588" s="80" t="s">
        <v>3978</v>
      </c>
      <c r="D588" s="36">
        <v>44781</v>
      </c>
      <c r="E588" s="36">
        <v>45107</v>
      </c>
      <c r="F588" s="36">
        <v>45837</v>
      </c>
      <c r="G588" s="64" t="s">
        <v>6</v>
      </c>
      <c r="H588" s="43" t="s">
        <v>3979</v>
      </c>
      <c r="I588" s="35" t="s">
        <v>3177</v>
      </c>
      <c r="J588" s="43" t="s">
        <v>2551</v>
      </c>
      <c r="K588" s="43" t="s">
        <v>3555</v>
      </c>
      <c r="L588" s="30">
        <v>50000</v>
      </c>
      <c r="M588" s="30">
        <v>0</v>
      </c>
      <c r="N588" s="30">
        <v>42794.46</v>
      </c>
      <c r="O588" s="30">
        <f t="shared" si="10"/>
        <v>7205.5400000000009</v>
      </c>
      <c r="P588" s="53" t="s">
        <v>2874</v>
      </c>
    </row>
    <row r="589" spans="2:18" ht="29" x14ac:dyDescent="0.35">
      <c r="B589" s="35" t="s">
        <v>3348</v>
      </c>
      <c r="C589" s="80" t="s">
        <v>3980</v>
      </c>
      <c r="D589" s="36">
        <v>44781</v>
      </c>
      <c r="E589" s="36">
        <v>45107</v>
      </c>
      <c r="F589" s="36">
        <v>45837</v>
      </c>
      <c r="G589" s="64" t="s">
        <v>6</v>
      </c>
      <c r="H589" s="43" t="s">
        <v>3981</v>
      </c>
      <c r="I589" s="35" t="s">
        <v>2503</v>
      </c>
      <c r="J589" s="43" t="s">
        <v>4636</v>
      </c>
      <c r="K589" s="43" t="s">
        <v>3555</v>
      </c>
      <c r="L589" s="30">
        <v>50000</v>
      </c>
      <c r="M589" s="30">
        <v>0</v>
      </c>
      <c r="N589" s="30">
        <f>16898.98+3000+3000+6000+9000+9000</f>
        <v>46898.979999999996</v>
      </c>
      <c r="O589" s="30">
        <f t="shared" si="10"/>
        <v>3101.0200000000041</v>
      </c>
      <c r="P589" s="44" t="s">
        <v>2874</v>
      </c>
      <c r="R589" s="60"/>
    </row>
    <row r="590" spans="2:18" ht="29" x14ac:dyDescent="0.35">
      <c r="B590" s="35" t="s">
        <v>3348</v>
      </c>
      <c r="C590" s="80" t="s">
        <v>3982</v>
      </c>
      <c r="D590" s="36">
        <v>44781</v>
      </c>
      <c r="E590" s="36">
        <v>45107</v>
      </c>
      <c r="F590" s="36">
        <v>45837</v>
      </c>
      <c r="G590" s="64" t="s">
        <v>6</v>
      </c>
      <c r="H590" s="43" t="s">
        <v>3983</v>
      </c>
      <c r="I590" s="35" t="s">
        <v>2480</v>
      </c>
      <c r="J590" s="43" t="s">
        <v>4657</v>
      </c>
      <c r="K590" s="43" t="s">
        <v>3555</v>
      </c>
      <c r="L590" s="30">
        <v>50000</v>
      </c>
      <c r="M590" s="30">
        <v>0</v>
      </c>
      <c r="N590" s="30">
        <f>2312.89+800+1600+5600+1600+800+1600+1600+11841.5+2622.27+749.22+900+900</f>
        <v>32925.880000000005</v>
      </c>
      <c r="O590" s="30">
        <f t="shared" si="10"/>
        <v>17074.119999999995</v>
      </c>
      <c r="P590" s="44" t="s">
        <v>2874</v>
      </c>
    </row>
    <row r="591" spans="2:18" ht="29" x14ac:dyDescent="0.35">
      <c r="B591" s="35" t="s">
        <v>3348</v>
      </c>
      <c r="C591" s="80" t="s">
        <v>3984</v>
      </c>
      <c r="D591" s="36">
        <v>44781</v>
      </c>
      <c r="E591" s="36">
        <v>45107</v>
      </c>
      <c r="F591" s="36">
        <v>45837</v>
      </c>
      <c r="G591" s="64" t="s">
        <v>6</v>
      </c>
      <c r="H591" s="43" t="s">
        <v>3985</v>
      </c>
      <c r="I591" s="35" t="s">
        <v>2506</v>
      </c>
      <c r="J591" s="43" t="s">
        <v>4063</v>
      </c>
      <c r="K591" s="43" t="s">
        <v>3555</v>
      </c>
      <c r="L591" s="30">
        <v>50000</v>
      </c>
      <c r="M591" s="30">
        <v>0</v>
      </c>
      <c r="N591" s="30">
        <v>0</v>
      </c>
      <c r="O591" s="30">
        <f t="shared" si="10"/>
        <v>50000</v>
      </c>
      <c r="P591" s="44" t="s">
        <v>2874</v>
      </c>
    </row>
    <row r="592" spans="2:18" x14ac:dyDescent="0.35">
      <c r="B592" s="35" t="s">
        <v>3963</v>
      </c>
      <c r="C592" s="80" t="s">
        <v>3986</v>
      </c>
      <c r="D592" s="36">
        <v>44781</v>
      </c>
      <c r="E592" s="36">
        <v>45107</v>
      </c>
      <c r="F592" s="36">
        <v>46538</v>
      </c>
      <c r="G592" s="64" t="s">
        <v>6</v>
      </c>
      <c r="H592" s="43" t="s">
        <v>3987</v>
      </c>
      <c r="I592" s="35" t="s">
        <v>2490</v>
      </c>
      <c r="J592" s="43" t="s">
        <v>5236</v>
      </c>
      <c r="K592" s="43" t="s">
        <v>3181</v>
      </c>
      <c r="L592" s="30">
        <v>40000</v>
      </c>
      <c r="M592" s="30">
        <v>0</v>
      </c>
      <c r="N592" s="30">
        <f>5000+5000+5000</f>
        <v>15000</v>
      </c>
      <c r="O592" s="30">
        <f t="shared" si="10"/>
        <v>25000</v>
      </c>
      <c r="P592" s="44" t="s">
        <v>2874</v>
      </c>
    </row>
    <row r="593" spans="2:16" x14ac:dyDescent="0.35">
      <c r="B593" s="35" t="s">
        <v>3963</v>
      </c>
      <c r="C593" s="80" t="s">
        <v>3988</v>
      </c>
      <c r="D593" s="36">
        <v>44781</v>
      </c>
      <c r="E593" s="36">
        <v>45107</v>
      </c>
      <c r="F593" s="36">
        <v>46538</v>
      </c>
      <c r="G593" s="64" t="s">
        <v>6</v>
      </c>
      <c r="H593" s="43" t="s">
        <v>3989</v>
      </c>
      <c r="I593" s="35" t="s">
        <v>3654</v>
      </c>
      <c r="J593" s="43" t="s">
        <v>5236</v>
      </c>
      <c r="K593" s="43" t="s">
        <v>3181</v>
      </c>
      <c r="L593" s="30">
        <v>40000</v>
      </c>
      <c r="M593" s="30">
        <v>0</v>
      </c>
      <c r="N593" s="30">
        <f>5000*3+5000</f>
        <v>20000</v>
      </c>
      <c r="O593" s="30">
        <f t="shared" si="10"/>
        <v>20000</v>
      </c>
      <c r="P593" s="44" t="s">
        <v>2874</v>
      </c>
    </row>
    <row r="594" spans="2:16" x14ac:dyDescent="0.35">
      <c r="B594" s="35" t="s">
        <v>3963</v>
      </c>
      <c r="C594" s="80" t="s">
        <v>3990</v>
      </c>
      <c r="D594" s="36">
        <v>44781</v>
      </c>
      <c r="E594" s="36">
        <v>45107</v>
      </c>
      <c r="F594" s="36">
        <v>46752</v>
      </c>
      <c r="G594" s="64" t="s">
        <v>6</v>
      </c>
      <c r="H594" s="43" t="s">
        <v>3991</v>
      </c>
      <c r="I594" s="35" t="s">
        <v>2480</v>
      </c>
      <c r="J594" s="43" t="s">
        <v>5236</v>
      </c>
      <c r="K594" s="43" t="s">
        <v>3181</v>
      </c>
      <c r="L594" s="30">
        <v>40000</v>
      </c>
      <c r="M594" s="30">
        <v>0</v>
      </c>
      <c r="N594" s="30">
        <f>5000*2</f>
        <v>10000</v>
      </c>
      <c r="O594" s="30">
        <f t="shared" si="10"/>
        <v>30000</v>
      </c>
      <c r="P594" s="44" t="s">
        <v>2874</v>
      </c>
    </row>
    <row r="595" spans="2:16" x14ac:dyDescent="0.35">
      <c r="B595" s="35" t="s">
        <v>3963</v>
      </c>
      <c r="C595" s="80" t="s">
        <v>3992</v>
      </c>
      <c r="D595" s="36">
        <v>44781</v>
      </c>
      <c r="E595" s="36">
        <v>45107</v>
      </c>
      <c r="F595" s="36">
        <v>45808</v>
      </c>
      <c r="G595" s="64" t="s">
        <v>6</v>
      </c>
      <c r="H595" s="43" t="s">
        <v>3993</v>
      </c>
      <c r="I595" s="35" t="s">
        <v>2490</v>
      </c>
      <c r="J595" s="43" t="s">
        <v>5236</v>
      </c>
      <c r="K595" s="43" t="s">
        <v>3181</v>
      </c>
      <c r="L595" s="30">
        <v>20000</v>
      </c>
      <c r="M595" s="30">
        <v>0</v>
      </c>
      <c r="N595" s="30">
        <f>5000*2</f>
        <v>10000</v>
      </c>
      <c r="O595" s="30">
        <f t="shared" si="10"/>
        <v>10000</v>
      </c>
      <c r="P595" s="44" t="s">
        <v>2874</v>
      </c>
    </row>
    <row r="596" spans="2:16" x14ac:dyDescent="0.35">
      <c r="B596" s="35" t="s">
        <v>3963</v>
      </c>
      <c r="C596" s="80" t="s">
        <v>3994</v>
      </c>
      <c r="D596" s="36">
        <v>44781</v>
      </c>
      <c r="E596" s="36">
        <v>45107</v>
      </c>
      <c r="F596" s="36">
        <v>46538</v>
      </c>
      <c r="G596" s="64" t="s">
        <v>6</v>
      </c>
      <c r="H596" s="43" t="s">
        <v>6267</v>
      </c>
      <c r="I596" s="35" t="s">
        <v>2476</v>
      </c>
      <c r="J596" s="43" t="s">
        <v>5236</v>
      </c>
      <c r="K596" s="43" t="s">
        <v>3181</v>
      </c>
      <c r="L596" s="30">
        <v>40000</v>
      </c>
      <c r="M596" s="30">
        <v>0</v>
      </c>
      <c r="N596" s="30">
        <f>10000+5000</f>
        <v>15000</v>
      </c>
      <c r="O596" s="30">
        <f t="shared" si="10"/>
        <v>25000</v>
      </c>
      <c r="P596" s="44" t="s">
        <v>2874</v>
      </c>
    </row>
    <row r="597" spans="2:16" x14ac:dyDescent="0.35">
      <c r="B597" s="35" t="s">
        <v>3963</v>
      </c>
      <c r="C597" s="80" t="s">
        <v>3995</v>
      </c>
      <c r="D597" s="36">
        <v>44781</v>
      </c>
      <c r="E597" s="36">
        <v>45107</v>
      </c>
      <c r="F597" s="36">
        <v>46173</v>
      </c>
      <c r="G597" s="64" t="s">
        <v>6</v>
      </c>
      <c r="H597" s="43" t="s">
        <v>4064</v>
      </c>
      <c r="I597" s="35" t="s">
        <v>2514</v>
      </c>
      <c r="J597" s="43" t="s">
        <v>5236</v>
      </c>
      <c r="K597" s="43" t="s">
        <v>3181</v>
      </c>
      <c r="L597" s="30">
        <v>30000</v>
      </c>
      <c r="M597" s="30">
        <v>0</v>
      </c>
      <c r="N597" s="30">
        <f>5000*3+5000</f>
        <v>20000</v>
      </c>
      <c r="O597" s="30">
        <f t="shared" si="10"/>
        <v>10000</v>
      </c>
      <c r="P597" s="44" t="s">
        <v>2874</v>
      </c>
    </row>
    <row r="598" spans="2:16" x14ac:dyDescent="0.35">
      <c r="B598" s="35" t="s">
        <v>3963</v>
      </c>
      <c r="C598" s="80" t="s">
        <v>3996</v>
      </c>
      <c r="D598" s="36">
        <v>44781</v>
      </c>
      <c r="E598" s="36">
        <v>45107</v>
      </c>
      <c r="F598" s="36">
        <v>46538</v>
      </c>
      <c r="G598" s="64" t="s">
        <v>6</v>
      </c>
      <c r="H598" s="43" t="s">
        <v>3997</v>
      </c>
      <c r="I598" s="35" t="s">
        <v>2499</v>
      </c>
      <c r="J598" s="43" t="s">
        <v>5236</v>
      </c>
      <c r="K598" s="43" t="s">
        <v>3181</v>
      </c>
      <c r="L598" s="30">
        <v>40000</v>
      </c>
      <c r="M598" s="30">
        <v>0</v>
      </c>
      <c r="N598" s="30">
        <f>5000+5000+5000+5000</f>
        <v>20000</v>
      </c>
      <c r="O598" s="30">
        <f t="shared" si="10"/>
        <v>20000</v>
      </c>
      <c r="P598" s="44" t="s">
        <v>2874</v>
      </c>
    </row>
    <row r="599" spans="2:16" x14ac:dyDescent="0.35">
      <c r="B599" s="35" t="s">
        <v>3963</v>
      </c>
      <c r="C599" s="80" t="s">
        <v>3998</v>
      </c>
      <c r="D599" s="36">
        <v>44781</v>
      </c>
      <c r="E599" s="36">
        <v>45107</v>
      </c>
      <c r="F599" s="36">
        <v>46173</v>
      </c>
      <c r="G599" s="64" t="s">
        <v>6</v>
      </c>
      <c r="H599" s="43" t="s">
        <v>3999</v>
      </c>
      <c r="I599" s="35" t="s">
        <v>2473</v>
      </c>
      <c r="J599" s="43" t="s">
        <v>5236</v>
      </c>
      <c r="K599" s="43" t="s">
        <v>3181</v>
      </c>
      <c r="L599" s="30">
        <v>30000</v>
      </c>
      <c r="M599" s="30">
        <v>0</v>
      </c>
      <c r="N599" s="30">
        <f>5000*2+5000+5000</f>
        <v>20000</v>
      </c>
      <c r="O599" s="30">
        <f t="shared" si="10"/>
        <v>10000</v>
      </c>
      <c r="P599" s="44" t="s">
        <v>2874</v>
      </c>
    </row>
    <row r="600" spans="2:16" x14ac:dyDescent="0.35">
      <c r="B600" s="35" t="s">
        <v>3963</v>
      </c>
      <c r="C600" s="80" t="s">
        <v>4000</v>
      </c>
      <c r="D600" s="36">
        <v>44781</v>
      </c>
      <c r="E600" s="36">
        <v>45107</v>
      </c>
      <c r="F600" s="36">
        <v>46418</v>
      </c>
      <c r="G600" s="64" t="s">
        <v>6</v>
      </c>
      <c r="H600" s="43" t="s">
        <v>4001</v>
      </c>
      <c r="I600" s="35" t="s">
        <v>2499</v>
      </c>
      <c r="J600" s="43" t="s">
        <v>5236</v>
      </c>
      <c r="K600" s="43" t="s">
        <v>3181</v>
      </c>
      <c r="L600" s="30">
        <v>40000</v>
      </c>
      <c r="M600" s="30">
        <v>0</v>
      </c>
      <c r="N600" s="30">
        <v>10000</v>
      </c>
      <c r="O600" s="30">
        <f t="shared" si="10"/>
        <v>30000</v>
      </c>
      <c r="P600" s="44" t="s">
        <v>2874</v>
      </c>
    </row>
    <row r="601" spans="2:16" x14ac:dyDescent="0.35">
      <c r="B601" s="35" t="s">
        <v>3963</v>
      </c>
      <c r="C601" s="80" t="s">
        <v>4002</v>
      </c>
      <c r="D601" s="36">
        <v>44781</v>
      </c>
      <c r="E601" s="36">
        <v>45107</v>
      </c>
      <c r="F601" s="36">
        <v>46053</v>
      </c>
      <c r="G601" s="64" t="s">
        <v>6</v>
      </c>
      <c r="H601" s="43" t="s">
        <v>4003</v>
      </c>
      <c r="I601" s="35" t="s">
        <v>2643</v>
      </c>
      <c r="J601" s="43" t="s">
        <v>5236</v>
      </c>
      <c r="K601" s="43" t="s">
        <v>3181</v>
      </c>
      <c r="L601" s="30">
        <v>30000</v>
      </c>
      <c r="M601" s="30">
        <v>0</v>
      </c>
      <c r="N601" s="30">
        <f>5000*2+5000</f>
        <v>15000</v>
      </c>
      <c r="O601" s="30">
        <f t="shared" si="10"/>
        <v>15000</v>
      </c>
      <c r="P601" s="44" t="s">
        <v>2874</v>
      </c>
    </row>
    <row r="602" spans="2:16" x14ac:dyDescent="0.35">
      <c r="B602" s="35" t="s">
        <v>3963</v>
      </c>
      <c r="C602" s="80" t="s">
        <v>4004</v>
      </c>
      <c r="D602" s="36">
        <v>44781</v>
      </c>
      <c r="E602" s="36">
        <v>45107</v>
      </c>
      <c r="F602" s="36">
        <v>46418</v>
      </c>
      <c r="G602" s="64" t="s">
        <v>6</v>
      </c>
      <c r="H602" s="43" t="s">
        <v>4005</v>
      </c>
      <c r="I602" s="35" t="s">
        <v>2484</v>
      </c>
      <c r="J602" s="43" t="s">
        <v>5236</v>
      </c>
      <c r="K602" s="43" t="s">
        <v>3181</v>
      </c>
      <c r="L602" s="30">
        <v>40000</v>
      </c>
      <c r="M602" s="30">
        <v>0</v>
      </c>
      <c r="N602" s="30">
        <f>5000+10000+5000</f>
        <v>20000</v>
      </c>
      <c r="O602" s="30">
        <f t="shared" si="10"/>
        <v>20000</v>
      </c>
      <c r="P602" s="44" t="s">
        <v>2874</v>
      </c>
    </row>
    <row r="603" spans="2:16" x14ac:dyDescent="0.35">
      <c r="B603" s="35" t="s">
        <v>3963</v>
      </c>
      <c r="C603" s="80" t="s">
        <v>4006</v>
      </c>
      <c r="D603" s="36">
        <v>44781</v>
      </c>
      <c r="E603" s="36">
        <v>45107</v>
      </c>
      <c r="F603" s="36">
        <v>46538</v>
      </c>
      <c r="G603" s="64" t="s">
        <v>6</v>
      </c>
      <c r="H603" s="43" t="s">
        <v>4007</v>
      </c>
      <c r="I603" s="35" t="s">
        <v>2804</v>
      </c>
      <c r="J603" s="43" t="s">
        <v>5236</v>
      </c>
      <c r="K603" s="43" t="s">
        <v>3181</v>
      </c>
      <c r="L603" s="30">
        <v>40000</v>
      </c>
      <c r="M603" s="30">
        <v>0</v>
      </c>
      <c r="N603" s="30">
        <f>5000*2+5000+5000</f>
        <v>20000</v>
      </c>
      <c r="O603" s="30">
        <f t="shared" si="10"/>
        <v>20000</v>
      </c>
      <c r="P603" s="44" t="s">
        <v>2874</v>
      </c>
    </row>
    <row r="604" spans="2:16" x14ac:dyDescent="0.35">
      <c r="B604" s="35" t="s">
        <v>3963</v>
      </c>
      <c r="C604" s="80" t="s">
        <v>4008</v>
      </c>
      <c r="D604" s="36">
        <v>44781</v>
      </c>
      <c r="E604" s="36">
        <v>45107</v>
      </c>
      <c r="F604" s="36">
        <v>46418</v>
      </c>
      <c r="G604" s="64" t="s">
        <v>6</v>
      </c>
      <c r="H604" s="43" t="s">
        <v>4009</v>
      </c>
      <c r="I604" s="35" t="s">
        <v>2492</v>
      </c>
      <c r="J604" s="43" t="s">
        <v>5236</v>
      </c>
      <c r="K604" s="43" t="s">
        <v>3181</v>
      </c>
      <c r="L604" s="30">
        <v>40000</v>
      </c>
      <c r="M604" s="30">
        <v>0</v>
      </c>
      <c r="N604" s="30">
        <f>5000*2+5000+5000</f>
        <v>20000</v>
      </c>
      <c r="O604" s="30">
        <f t="shared" si="10"/>
        <v>20000</v>
      </c>
      <c r="P604" s="44" t="s">
        <v>2874</v>
      </c>
    </row>
    <row r="605" spans="2:16" x14ac:dyDescent="0.35">
      <c r="B605" s="35" t="s">
        <v>3525</v>
      </c>
      <c r="C605" s="80" t="s">
        <v>4010</v>
      </c>
      <c r="D605" s="36">
        <v>44781</v>
      </c>
      <c r="E605" s="36">
        <v>45107</v>
      </c>
      <c r="F605" s="36">
        <v>45655</v>
      </c>
      <c r="G605" s="64" t="s">
        <v>6</v>
      </c>
      <c r="H605" s="43" t="s">
        <v>1297</v>
      </c>
      <c r="I605" s="39" t="s">
        <v>2480</v>
      </c>
      <c r="J605" s="38" t="s">
        <v>4516</v>
      </c>
      <c r="K605" s="38" t="s">
        <v>3417</v>
      </c>
      <c r="L605" s="30">
        <v>25000</v>
      </c>
      <c r="M605" s="30">
        <v>0</v>
      </c>
      <c r="N605" s="30">
        <f>2307.32+18022.71</f>
        <v>20330.03</v>
      </c>
      <c r="O605" s="30">
        <f t="shared" si="10"/>
        <v>4669.9700000000012</v>
      </c>
      <c r="P605" s="44" t="s">
        <v>2874</v>
      </c>
    </row>
    <row r="606" spans="2:16" x14ac:dyDescent="0.35">
      <c r="B606" s="35" t="s">
        <v>3963</v>
      </c>
      <c r="C606" s="80" t="s">
        <v>4011</v>
      </c>
      <c r="D606" s="36">
        <v>44781</v>
      </c>
      <c r="E606" s="36">
        <v>45107</v>
      </c>
      <c r="F606" s="36">
        <v>45688</v>
      </c>
      <c r="G606" s="64" t="s">
        <v>6</v>
      </c>
      <c r="H606" s="43" t="s">
        <v>4012</v>
      </c>
      <c r="I606" s="35" t="s">
        <v>2496</v>
      </c>
      <c r="J606" s="43" t="s">
        <v>5236</v>
      </c>
      <c r="K606" s="43" t="s">
        <v>3181</v>
      </c>
      <c r="L606" s="30">
        <v>20000</v>
      </c>
      <c r="M606" s="30">
        <v>0</v>
      </c>
      <c r="N606" s="30">
        <f>5000*2+5000+5000</f>
        <v>20000</v>
      </c>
      <c r="O606" s="30">
        <f t="shared" si="10"/>
        <v>0</v>
      </c>
      <c r="P606" s="44" t="s">
        <v>2874</v>
      </c>
    </row>
    <row r="607" spans="2:16" x14ac:dyDescent="0.35">
      <c r="B607" s="35" t="s">
        <v>3525</v>
      </c>
      <c r="C607" s="80" t="s">
        <v>4013</v>
      </c>
      <c r="D607" s="36">
        <v>44781</v>
      </c>
      <c r="E607" s="36">
        <v>45107</v>
      </c>
      <c r="F607" s="36">
        <v>45655</v>
      </c>
      <c r="G607" s="64" t="s">
        <v>6</v>
      </c>
      <c r="H607" s="43" t="s">
        <v>1300</v>
      </c>
      <c r="I607" s="39" t="s">
        <v>2506</v>
      </c>
      <c r="J607" s="38" t="s">
        <v>4628</v>
      </c>
      <c r="K607" s="38" t="s">
        <v>3417</v>
      </c>
      <c r="L607" s="30">
        <v>50000</v>
      </c>
      <c r="M607" s="30">
        <v>0</v>
      </c>
      <c r="N607" s="30">
        <f>1500+18434.12</f>
        <v>19934.12</v>
      </c>
      <c r="O607" s="30">
        <f t="shared" si="10"/>
        <v>30065.88</v>
      </c>
      <c r="P607" s="44">
        <v>2.4500000000000002</v>
      </c>
    </row>
    <row r="608" spans="2:16" ht="29" x14ac:dyDescent="0.35">
      <c r="B608" s="35" t="s">
        <v>3525</v>
      </c>
      <c r="C608" s="80" t="s">
        <v>4014</v>
      </c>
      <c r="D608" s="36">
        <v>44781</v>
      </c>
      <c r="E608" s="36">
        <v>45107</v>
      </c>
      <c r="F608" s="36">
        <v>45655</v>
      </c>
      <c r="G608" s="64" t="s">
        <v>5683</v>
      </c>
      <c r="H608" s="43" t="s">
        <v>1683</v>
      </c>
      <c r="I608" s="35" t="s">
        <v>3333</v>
      </c>
      <c r="J608" s="38" t="s">
        <v>4065</v>
      </c>
      <c r="K608" s="38" t="s">
        <v>3417</v>
      </c>
      <c r="L608" s="30">
        <v>50000</v>
      </c>
      <c r="M608" s="30">
        <v>50000</v>
      </c>
      <c r="N608" s="30">
        <v>0</v>
      </c>
      <c r="O608" s="30">
        <f t="shared" si="10"/>
        <v>0</v>
      </c>
      <c r="P608" s="44" t="s">
        <v>6807</v>
      </c>
    </row>
    <row r="609" spans="2:16" x14ac:dyDescent="0.35">
      <c r="B609" s="35" t="s">
        <v>3525</v>
      </c>
      <c r="C609" s="80" t="s">
        <v>6359</v>
      </c>
      <c r="D609" s="36">
        <v>44781</v>
      </c>
      <c r="E609" s="36">
        <v>45107</v>
      </c>
      <c r="F609" s="36">
        <v>45655</v>
      </c>
      <c r="G609" s="64" t="s">
        <v>6</v>
      </c>
      <c r="H609" s="43" t="s">
        <v>1293</v>
      </c>
      <c r="I609" s="35" t="s">
        <v>2480</v>
      </c>
      <c r="J609" s="38" t="s">
        <v>4658</v>
      </c>
      <c r="K609" s="38" t="s">
        <v>3417</v>
      </c>
      <c r="L609" s="30">
        <v>25000</v>
      </c>
      <c r="M609" s="30">
        <v>0</v>
      </c>
      <c r="N609" s="30">
        <f>13856.06+6410+4435</f>
        <v>24701.059999999998</v>
      </c>
      <c r="O609" s="30">
        <f t="shared" si="10"/>
        <v>298.94000000000233</v>
      </c>
      <c r="P609" s="44" t="s">
        <v>2874</v>
      </c>
    </row>
    <row r="610" spans="2:16" x14ac:dyDescent="0.35">
      <c r="B610" s="35" t="s">
        <v>3963</v>
      </c>
      <c r="C610" s="80" t="s">
        <v>4015</v>
      </c>
      <c r="D610" s="36">
        <v>44781</v>
      </c>
      <c r="E610" s="36">
        <v>45107</v>
      </c>
      <c r="F610" s="36">
        <v>45808</v>
      </c>
      <c r="G610" s="64" t="s">
        <v>6</v>
      </c>
      <c r="H610" s="43" t="s">
        <v>4016</v>
      </c>
      <c r="I610" s="35" t="s">
        <v>2490</v>
      </c>
      <c r="J610" s="43" t="s">
        <v>5236</v>
      </c>
      <c r="K610" s="43" t="s">
        <v>3181</v>
      </c>
      <c r="L610" s="30">
        <v>20000</v>
      </c>
      <c r="M610" s="30">
        <v>0</v>
      </c>
      <c r="N610" s="30">
        <f>5000+10000+5000</f>
        <v>20000</v>
      </c>
      <c r="O610" s="30">
        <f t="shared" si="10"/>
        <v>0</v>
      </c>
      <c r="P610" s="44" t="s">
        <v>2874</v>
      </c>
    </row>
    <row r="611" spans="2:16" x14ac:dyDescent="0.35">
      <c r="B611" s="35" t="s">
        <v>3963</v>
      </c>
      <c r="C611" s="80" t="s">
        <v>4017</v>
      </c>
      <c r="D611" s="36">
        <v>44781</v>
      </c>
      <c r="E611" s="36">
        <v>45107</v>
      </c>
      <c r="F611" s="36">
        <v>46163</v>
      </c>
      <c r="G611" s="64" t="s">
        <v>6</v>
      </c>
      <c r="H611" s="43" t="s">
        <v>4066</v>
      </c>
      <c r="I611" s="35" t="s">
        <v>2476</v>
      </c>
      <c r="J611" s="43" t="s">
        <v>5236</v>
      </c>
      <c r="K611" s="43" t="s">
        <v>3181</v>
      </c>
      <c r="L611" s="30">
        <v>30000</v>
      </c>
      <c r="M611" s="30">
        <v>0</v>
      </c>
      <c r="N611" s="30">
        <f>10000+5000</f>
        <v>15000</v>
      </c>
      <c r="O611" s="30">
        <f t="shared" si="10"/>
        <v>15000</v>
      </c>
      <c r="P611" s="44" t="s">
        <v>2874</v>
      </c>
    </row>
    <row r="612" spans="2:16" x14ac:dyDescent="0.35">
      <c r="B612" s="35" t="s">
        <v>3963</v>
      </c>
      <c r="C612" s="80" t="s">
        <v>4018</v>
      </c>
      <c r="D612" s="36">
        <v>44781</v>
      </c>
      <c r="E612" s="36">
        <v>45107</v>
      </c>
      <c r="F612" s="36">
        <v>46538</v>
      </c>
      <c r="G612" s="64" t="s">
        <v>6</v>
      </c>
      <c r="H612" s="43" t="s">
        <v>4019</v>
      </c>
      <c r="I612" s="35" t="s">
        <v>2480</v>
      </c>
      <c r="J612" s="43" t="s">
        <v>5236</v>
      </c>
      <c r="K612" s="43" t="s">
        <v>3181</v>
      </c>
      <c r="L612" s="30">
        <v>40000</v>
      </c>
      <c r="M612" s="30">
        <v>0</v>
      </c>
      <c r="N612" s="30">
        <f>5000*2+5000+5000</f>
        <v>20000</v>
      </c>
      <c r="O612" s="30">
        <f t="shared" si="10"/>
        <v>20000</v>
      </c>
      <c r="P612" s="44" t="s">
        <v>2874</v>
      </c>
    </row>
    <row r="613" spans="2:16" x14ac:dyDescent="0.35">
      <c r="B613" s="35" t="s">
        <v>3963</v>
      </c>
      <c r="C613" s="80" t="s">
        <v>4020</v>
      </c>
      <c r="D613" s="36">
        <v>44781</v>
      </c>
      <c r="E613" s="36">
        <v>45107</v>
      </c>
      <c r="F613" s="36">
        <v>46387</v>
      </c>
      <c r="G613" s="64" t="s">
        <v>6</v>
      </c>
      <c r="H613" s="43" t="s">
        <v>4021</v>
      </c>
      <c r="I613" s="35" t="s">
        <v>2494</v>
      </c>
      <c r="J613" s="43" t="s">
        <v>5236</v>
      </c>
      <c r="K613" s="43" t="s">
        <v>3181</v>
      </c>
      <c r="L613" s="30">
        <v>25000</v>
      </c>
      <c r="M613" s="30">
        <v>0</v>
      </c>
      <c r="N613" s="30">
        <f>5000*2+5000</f>
        <v>15000</v>
      </c>
      <c r="O613" s="30">
        <f t="shared" si="10"/>
        <v>10000</v>
      </c>
      <c r="P613" s="44" t="s">
        <v>2874</v>
      </c>
    </row>
    <row r="614" spans="2:16" x14ac:dyDescent="0.35">
      <c r="B614" s="35" t="s">
        <v>3963</v>
      </c>
      <c r="C614" s="80" t="s">
        <v>4022</v>
      </c>
      <c r="D614" s="36">
        <v>44781</v>
      </c>
      <c r="E614" s="36">
        <v>45107</v>
      </c>
      <c r="F614" s="36">
        <v>46538</v>
      </c>
      <c r="G614" s="64" t="s">
        <v>6</v>
      </c>
      <c r="H614" s="43" t="s">
        <v>4023</v>
      </c>
      <c r="I614" s="35"/>
      <c r="J614" s="43" t="s">
        <v>5236</v>
      </c>
      <c r="K614" s="43" t="s">
        <v>3181</v>
      </c>
      <c r="L614" s="30">
        <v>40000</v>
      </c>
      <c r="M614" s="30">
        <v>0</v>
      </c>
      <c r="N614" s="30">
        <f>10000+5000+5000</f>
        <v>20000</v>
      </c>
      <c r="O614" s="30">
        <f t="shared" si="10"/>
        <v>20000</v>
      </c>
      <c r="P614" s="44" t="s">
        <v>2874</v>
      </c>
    </row>
    <row r="615" spans="2:16" x14ac:dyDescent="0.35">
      <c r="B615" s="35" t="s">
        <v>3963</v>
      </c>
      <c r="C615" s="80" t="s">
        <v>4024</v>
      </c>
      <c r="D615" s="36">
        <v>44781</v>
      </c>
      <c r="E615" s="36">
        <v>45107</v>
      </c>
      <c r="F615" s="36">
        <v>46173</v>
      </c>
      <c r="G615" s="64" t="s">
        <v>6</v>
      </c>
      <c r="H615" s="43" t="s">
        <v>4025</v>
      </c>
      <c r="I615" s="35" t="s">
        <v>2497</v>
      </c>
      <c r="J615" s="43" t="s">
        <v>5236</v>
      </c>
      <c r="K615" s="43" t="s">
        <v>3181</v>
      </c>
      <c r="L615" s="30">
        <v>30000</v>
      </c>
      <c r="M615" s="30">
        <v>0</v>
      </c>
      <c r="N615" s="30">
        <f>5000*2+5000+5000</f>
        <v>20000</v>
      </c>
      <c r="O615" s="30">
        <f t="shared" si="10"/>
        <v>10000</v>
      </c>
      <c r="P615" s="44" t="s">
        <v>2874</v>
      </c>
    </row>
    <row r="616" spans="2:16" x14ac:dyDescent="0.35">
      <c r="B616" s="35" t="s">
        <v>3864</v>
      </c>
      <c r="C616" s="80" t="s">
        <v>3878</v>
      </c>
      <c r="D616" s="36">
        <v>44781</v>
      </c>
      <c r="E616" s="36">
        <v>45117</v>
      </c>
      <c r="F616" s="36">
        <v>45123</v>
      </c>
      <c r="G616" s="64" t="s">
        <v>6</v>
      </c>
      <c r="H616" s="43" t="s">
        <v>3879</v>
      </c>
      <c r="I616" s="35" t="s">
        <v>2488</v>
      </c>
      <c r="J616" s="38" t="s">
        <v>4647</v>
      </c>
      <c r="K616" s="38" t="s">
        <v>2573</v>
      </c>
      <c r="L616" s="30">
        <v>3000</v>
      </c>
      <c r="M616" s="30">
        <v>0</v>
      </c>
      <c r="N616" s="30">
        <v>2103.5500000000002</v>
      </c>
      <c r="O616" s="30">
        <f t="shared" si="10"/>
        <v>896.44999999999982</v>
      </c>
      <c r="P616" s="44" t="s">
        <v>2874</v>
      </c>
    </row>
    <row r="617" spans="2:16" x14ac:dyDescent="0.35">
      <c r="B617" s="39" t="s">
        <v>3880</v>
      </c>
      <c r="C617" s="80" t="s">
        <v>3882</v>
      </c>
      <c r="D617" s="40">
        <v>44972</v>
      </c>
      <c r="E617" s="36">
        <v>45118</v>
      </c>
      <c r="F617" s="36">
        <v>46944</v>
      </c>
      <c r="G617" s="64" t="s">
        <v>6</v>
      </c>
      <c r="H617" s="38" t="s">
        <v>3664</v>
      </c>
      <c r="I617" s="35" t="s">
        <v>2490</v>
      </c>
      <c r="J617" s="38" t="s">
        <v>3703</v>
      </c>
      <c r="K617" s="38" t="s">
        <v>2583</v>
      </c>
      <c r="L617" s="45">
        <v>200000</v>
      </c>
      <c r="M617" s="30">
        <v>0</v>
      </c>
      <c r="N617" s="30">
        <v>0</v>
      </c>
      <c r="O617" s="30">
        <f t="shared" si="10"/>
        <v>200000</v>
      </c>
      <c r="P617" s="44">
        <v>1.9</v>
      </c>
    </row>
    <row r="618" spans="2:16" x14ac:dyDescent="0.35">
      <c r="B618" s="39" t="s">
        <v>3881</v>
      </c>
      <c r="C618" s="80" t="s">
        <v>3883</v>
      </c>
      <c r="D618" s="40">
        <v>44972</v>
      </c>
      <c r="E618" s="36">
        <v>45118</v>
      </c>
      <c r="F618" s="36">
        <v>46944</v>
      </c>
      <c r="G618" s="64" t="s">
        <v>6</v>
      </c>
      <c r="H618" s="38" t="s">
        <v>3664</v>
      </c>
      <c r="I618" s="35" t="s">
        <v>2490</v>
      </c>
      <c r="J618" s="38" t="s">
        <v>3703</v>
      </c>
      <c r="K618" s="38" t="s">
        <v>2586</v>
      </c>
      <c r="L618" s="45">
        <v>1760000</v>
      </c>
      <c r="M618" s="30">
        <v>0</v>
      </c>
      <c r="N618" s="30">
        <v>0</v>
      </c>
      <c r="O618" s="30">
        <f t="shared" si="10"/>
        <v>1760000</v>
      </c>
      <c r="P618" s="44">
        <v>1.9</v>
      </c>
    </row>
    <row r="619" spans="2:16" ht="29" x14ac:dyDescent="0.35">
      <c r="B619" s="39" t="s">
        <v>3340</v>
      </c>
      <c r="C619" s="80" t="s">
        <v>4029</v>
      </c>
      <c r="D619" s="40">
        <v>44845</v>
      </c>
      <c r="E619" s="36">
        <v>45121</v>
      </c>
      <c r="F619" s="36">
        <v>46947</v>
      </c>
      <c r="G619" s="64" t="s">
        <v>6</v>
      </c>
      <c r="H619" s="38" t="s">
        <v>3343</v>
      </c>
      <c r="I619" s="35" t="s">
        <v>2816</v>
      </c>
      <c r="J619" s="38" t="s">
        <v>4589</v>
      </c>
      <c r="K619" s="38" t="s">
        <v>2583</v>
      </c>
      <c r="L619" s="45">
        <v>600000</v>
      </c>
      <c r="M619" s="49">
        <v>0</v>
      </c>
      <c r="N619" s="49">
        <v>0</v>
      </c>
      <c r="O619" s="30">
        <f t="shared" si="10"/>
        <v>600000</v>
      </c>
      <c r="P619" s="44">
        <v>1</v>
      </c>
    </row>
    <row r="620" spans="2:16" ht="29" x14ac:dyDescent="0.35">
      <c r="B620" s="39" t="s">
        <v>3341</v>
      </c>
      <c r="C620" s="80" t="s">
        <v>4030</v>
      </c>
      <c r="D620" s="40">
        <v>44845</v>
      </c>
      <c r="E620" s="36">
        <v>45121</v>
      </c>
      <c r="F620" s="36">
        <v>46947</v>
      </c>
      <c r="G620" s="64" t="s">
        <v>6</v>
      </c>
      <c r="H620" s="38" t="s">
        <v>3343</v>
      </c>
      <c r="I620" s="35" t="s">
        <v>2816</v>
      </c>
      <c r="J620" s="38" t="s">
        <v>4589</v>
      </c>
      <c r="K620" s="38" t="s">
        <v>2586</v>
      </c>
      <c r="L620" s="45">
        <v>1040000</v>
      </c>
      <c r="M620" s="49">
        <v>0</v>
      </c>
      <c r="N620" s="49">
        <v>0</v>
      </c>
      <c r="O620" s="30">
        <f t="shared" si="10"/>
        <v>1040000</v>
      </c>
      <c r="P620" s="44">
        <v>1</v>
      </c>
    </row>
    <row r="621" spans="2:16" ht="29" x14ac:dyDescent="0.35">
      <c r="B621" s="39" t="s">
        <v>3357</v>
      </c>
      <c r="C621" s="80" t="s">
        <v>4031</v>
      </c>
      <c r="D621" s="40">
        <v>44869</v>
      </c>
      <c r="E621" s="36">
        <v>45121</v>
      </c>
      <c r="F621" s="36">
        <v>46947</v>
      </c>
      <c r="G621" s="64" t="s">
        <v>6</v>
      </c>
      <c r="H621" s="38" t="s">
        <v>3363</v>
      </c>
      <c r="I621" s="35" t="s">
        <v>2782</v>
      </c>
      <c r="J621" s="38" t="s">
        <v>3366</v>
      </c>
      <c r="K621" s="38" t="s">
        <v>2583</v>
      </c>
      <c r="L621" s="45">
        <v>18000</v>
      </c>
      <c r="M621" s="30">
        <v>0</v>
      </c>
      <c r="N621" s="30">
        <v>0</v>
      </c>
      <c r="O621" s="30">
        <f t="shared" si="10"/>
        <v>18000</v>
      </c>
      <c r="P621" s="44">
        <v>3.66</v>
      </c>
    </row>
    <row r="622" spans="2:16" x14ac:dyDescent="0.35">
      <c r="B622" s="39" t="s">
        <v>3808</v>
      </c>
      <c r="C622" s="80" t="s">
        <v>4026</v>
      </c>
      <c r="D622" s="40">
        <v>44972</v>
      </c>
      <c r="E622" s="36">
        <v>45121</v>
      </c>
      <c r="F622" s="36">
        <v>46947</v>
      </c>
      <c r="G622" s="64" t="s">
        <v>6</v>
      </c>
      <c r="H622" s="38" t="s">
        <v>2908</v>
      </c>
      <c r="I622" s="35" t="s">
        <v>2541</v>
      </c>
      <c r="J622" s="38" t="s">
        <v>4624</v>
      </c>
      <c r="K622" s="38" t="s">
        <v>2583</v>
      </c>
      <c r="L622" s="45">
        <v>390000</v>
      </c>
      <c r="M622" s="30">
        <v>0</v>
      </c>
      <c r="N622" s="30">
        <v>0</v>
      </c>
      <c r="O622" s="30">
        <f t="shared" si="10"/>
        <v>390000</v>
      </c>
      <c r="P622" s="44">
        <v>4.4800000000000004</v>
      </c>
    </row>
    <row r="623" spans="2:16" x14ac:dyDescent="0.35">
      <c r="B623" s="39" t="s">
        <v>3809</v>
      </c>
      <c r="C623" s="80" t="s">
        <v>4027</v>
      </c>
      <c r="D623" s="40">
        <v>44972</v>
      </c>
      <c r="E623" s="36">
        <v>45121</v>
      </c>
      <c r="F623" s="36">
        <v>46947</v>
      </c>
      <c r="G623" s="64" t="s">
        <v>6</v>
      </c>
      <c r="H623" s="38" t="s">
        <v>2908</v>
      </c>
      <c r="I623" s="35" t="s">
        <v>2541</v>
      </c>
      <c r="J623" s="38" t="s">
        <v>4624</v>
      </c>
      <c r="K623" s="38" t="s">
        <v>2586</v>
      </c>
      <c r="L623" s="45">
        <v>1300000</v>
      </c>
      <c r="M623" s="30">
        <v>0</v>
      </c>
      <c r="N623" s="30">
        <v>0</v>
      </c>
      <c r="O623" s="30">
        <f t="shared" si="10"/>
        <v>1300000</v>
      </c>
      <c r="P623" s="44">
        <v>4.4800000000000004</v>
      </c>
    </row>
    <row r="624" spans="2:16" x14ac:dyDescent="0.35">
      <c r="B624" s="39" t="s">
        <v>3810</v>
      </c>
      <c r="C624" s="80" t="s">
        <v>4028</v>
      </c>
      <c r="D624" s="40">
        <v>44972</v>
      </c>
      <c r="E624" s="36">
        <v>45121</v>
      </c>
      <c r="F624" s="36">
        <v>46947</v>
      </c>
      <c r="G624" s="64" t="s">
        <v>6</v>
      </c>
      <c r="H624" s="38" t="s">
        <v>2908</v>
      </c>
      <c r="I624" s="35" t="s">
        <v>2541</v>
      </c>
      <c r="J624" s="43" t="s">
        <v>4624</v>
      </c>
      <c r="K624" s="43" t="s">
        <v>3665</v>
      </c>
      <c r="L624" s="45">
        <v>200000</v>
      </c>
      <c r="M624" s="30">
        <v>0</v>
      </c>
      <c r="N624" s="30">
        <v>0</v>
      </c>
      <c r="O624" s="30">
        <f t="shared" si="10"/>
        <v>200000</v>
      </c>
      <c r="P624" s="44">
        <v>4.4800000000000004</v>
      </c>
    </row>
    <row r="625" spans="2:16" x14ac:dyDescent="0.35">
      <c r="B625" s="39" t="s">
        <v>3815</v>
      </c>
      <c r="C625" s="80" t="s">
        <v>4032</v>
      </c>
      <c r="D625" s="40">
        <v>45061</v>
      </c>
      <c r="E625" s="36">
        <v>45121</v>
      </c>
      <c r="F625" s="36">
        <v>46216</v>
      </c>
      <c r="G625" s="64" t="s">
        <v>6</v>
      </c>
      <c r="H625" s="38" t="s">
        <v>2908</v>
      </c>
      <c r="I625" s="35" t="s">
        <v>2541</v>
      </c>
      <c r="J625" s="38" t="s">
        <v>4624</v>
      </c>
      <c r="K625" s="38" t="s">
        <v>2583</v>
      </c>
      <c r="L625" s="45">
        <v>30000</v>
      </c>
      <c r="M625" s="30">
        <v>0</v>
      </c>
      <c r="N625" s="30">
        <v>0</v>
      </c>
      <c r="O625" s="30">
        <f t="shared" si="10"/>
        <v>30000</v>
      </c>
      <c r="P625" s="44">
        <v>-39.74</v>
      </c>
    </row>
    <row r="626" spans="2:16" x14ac:dyDescent="0.35">
      <c r="B626" s="39" t="s">
        <v>3816</v>
      </c>
      <c r="C626" s="80" t="s">
        <v>4033</v>
      </c>
      <c r="D626" s="40">
        <v>45061</v>
      </c>
      <c r="E626" s="36">
        <v>45121</v>
      </c>
      <c r="F626" s="36">
        <v>46216</v>
      </c>
      <c r="G626" s="64" t="s">
        <v>6</v>
      </c>
      <c r="H626" s="38" t="s">
        <v>2908</v>
      </c>
      <c r="I626" s="35" t="s">
        <v>2541</v>
      </c>
      <c r="J626" s="38" t="s">
        <v>4624</v>
      </c>
      <c r="K626" s="38" t="s">
        <v>2586</v>
      </c>
      <c r="L626" s="45">
        <v>128000</v>
      </c>
      <c r="M626" s="30">
        <v>0</v>
      </c>
      <c r="N626" s="30">
        <v>0</v>
      </c>
      <c r="O626" s="30">
        <f t="shared" si="10"/>
        <v>128000</v>
      </c>
      <c r="P626" s="44">
        <v>-39.74</v>
      </c>
    </row>
    <row r="627" spans="2:16" x14ac:dyDescent="0.35">
      <c r="B627" s="39" t="s">
        <v>3817</v>
      </c>
      <c r="C627" s="80" t="s">
        <v>4034</v>
      </c>
      <c r="D627" s="40">
        <v>45061</v>
      </c>
      <c r="E627" s="36">
        <v>45121</v>
      </c>
      <c r="F627" s="36">
        <v>46216</v>
      </c>
      <c r="G627" s="64" t="s">
        <v>6</v>
      </c>
      <c r="H627" s="38" t="s">
        <v>2908</v>
      </c>
      <c r="I627" s="35" t="s">
        <v>2541</v>
      </c>
      <c r="J627" s="43" t="s">
        <v>4624</v>
      </c>
      <c r="K627" s="43" t="s">
        <v>3665</v>
      </c>
      <c r="L627" s="45">
        <v>1600000</v>
      </c>
      <c r="M627" s="30">
        <v>0</v>
      </c>
      <c r="N627" s="30">
        <v>0</v>
      </c>
      <c r="O627" s="30">
        <f t="shared" si="10"/>
        <v>1600000</v>
      </c>
      <c r="P627" s="44">
        <v>-39.74</v>
      </c>
    </row>
    <row r="628" spans="2:16" ht="29" x14ac:dyDescent="0.35">
      <c r="B628" s="35" t="s">
        <v>4238</v>
      </c>
      <c r="C628" s="80" t="s">
        <v>4237</v>
      </c>
      <c r="D628" s="36">
        <v>44869</v>
      </c>
      <c r="E628" s="36">
        <v>45121</v>
      </c>
      <c r="F628" s="36">
        <v>46947</v>
      </c>
      <c r="G628" s="64" t="s">
        <v>6</v>
      </c>
      <c r="H628" s="43" t="s">
        <v>4239</v>
      </c>
      <c r="I628" s="35" t="s">
        <v>2782</v>
      </c>
      <c r="J628" s="38" t="s">
        <v>3366</v>
      </c>
      <c r="K628" s="38" t="s">
        <v>2586</v>
      </c>
      <c r="L628" s="30">
        <v>102500</v>
      </c>
      <c r="M628" s="30">
        <v>0</v>
      </c>
      <c r="N628" s="30">
        <f>37884.5</f>
        <v>37884.5</v>
      </c>
      <c r="O628" s="30">
        <f t="shared" si="10"/>
        <v>64615.5</v>
      </c>
      <c r="P628" s="44">
        <v>3.66</v>
      </c>
    </row>
    <row r="629" spans="2:16" x14ac:dyDescent="0.35">
      <c r="B629" s="35" t="s">
        <v>3963</v>
      </c>
      <c r="C629" s="80" t="s">
        <v>4087</v>
      </c>
      <c r="D629" s="36">
        <v>44781</v>
      </c>
      <c r="E629" s="36">
        <v>45123</v>
      </c>
      <c r="F629" s="36">
        <v>46022</v>
      </c>
      <c r="G629" s="64" t="s">
        <v>6</v>
      </c>
      <c r="H629" s="43" t="s">
        <v>4086</v>
      </c>
      <c r="I629" s="35" t="s">
        <v>2521</v>
      </c>
      <c r="J629" s="43" t="s">
        <v>5236</v>
      </c>
      <c r="K629" s="43" t="s">
        <v>3181</v>
      </c>
      <c r="L629" s="30">
        <v>15000</v>
      </c>
      <c r="M629" s="30">
        <v>0</v>
      </c>
      <c r="N629" s="30">
        <f>5000*2</f>
        <v>10000</v>
      </c>
      <c r="O629" s="30">
        <f t="shared" si="10"/>
        <v>5000</v>
      </c>
      <c r="P629" s="44" t="s">
        <v>2874</v>
      </c>
    </row>
    <row r="630" spans="2:16" ht="29" x14ac:dyDescent="0.35">
      <c r="B630" s="39" t="s">
        <v>3825</v>
      </c>
      <c r="C630" s="80" t="s">
        <v>4038</v>
      </c>
      <c r="D630" s="40">
        <v>45061</v>
      </c>
      <c r="E630" s="36">
        <v>45139</v>
      </c>
      <c r="F630" s="36">
        <v>46234</v>
      </c>
      <c r="G630" s="64" t="s">
        <v>5683</v>
      </c>
      <c r="H630" s="38" t="s">
        <v>3720</v>
      </c>
      <c r="I630" s="35" t="s">
        <v>2491</v>
      </c>
      <c r="J630" s="38" t="s">
        <v>4631</v>
      </c>
      <c r="K630" s="38" t="s">
        <v>2583</v>
      </c>
      <c r="L630" s="45">
        <v>375000</v>
      </c>
      <c r="M630" s="30">
        <v>375000</v>
      </c>
      <c r="N630" s="30">
        <v>0</v>
      </c>
      <c r="O630" s="30">
        <f t="shared" si="10"/>
        <v>0</v>
      </c>
      <c r="P630" s="44" t="s">
        <v>6527</v>
      </c>
    </row>
    <row r="631" spans="2:16" x14ac:dyDescent="0.35">
      <c r="B631" s="39" t="s">
        <v>3826</v>
      </c>
      <c r="C631" s="80" t="s">
        <v>4039</v>
      </c>
      <c r="D631" s="40">
        <v>45061</v>
      </c>
      <c r="E631" s="36">
        <v>45139</v>
      </c>
      <c r="F631" s="36">
        <v>46965</v>
      </c>
      <c r="G631" s="64" t="s">
        <v>6</v>
      </c>
      <c r="H631" s="38" t="s">
        <v>3720</v>
      </c>
      <c r="I631" s="35" t="s">
        <v>2491</v>
      </c>
      <c r="J631" s="38" t="s">
        <v>4631</v>
      </c>
      <c r="K631" s="38" t="s">
        <v>2586</v>
      </c>
      <c r="L631" s="45">
        <v>1096000</v>
      </c>
      <c r="M631" s="30">
        <v>0</v>
      </c>
      <c r="N631" s="30">
        <v>730666.66</v>
      </c>
      <c r="O631" s="30">
        <f t="shared" si="10"/>
        <v>365333.33999999997</v>
      </c>
      <c r="P631" s="44">
        <v>1.86</v>
      </c>
    </row>
    <row r="632" spans="2:16" x14ac:dyDescent="0.35">
      <c r="B632" s="39" t="s">
        <v>3823</v>
      </c>
      <c r="C632" s="80" t="s">
        <v>4035</v>
      </c>
      <c r="D632" s="40">
        <v>45061</v>
      </c>
      <c r="E632" s="36">
        <v>45139</v>
      </c>
      <c r="F632" s="36">
        <v>46965</v>
      </c>
      <c r="G632" s="64" t="s">
        <v>6</v>
      </c>
      <c r="H632" s="38" t="s">
        <v>1300</v>
      </c>
      <c r="I632" s="35" t="s">
        <v>2506</v>
      </c>
      <c r="J632" s="38" t="s">
        <v>4628</v>
      </c>
      <c r="K632" s="38" t="s">
        <v>2583</v>
      </c>
      <c r="L632" s="45">
        <v>4800</v>
      </c>
      <c r="M632" s="30">
        <v>0</v>
      </c>
      <c r="N632" s="30">
        <v>0</v>
      </c>
      <c r="O632" s="30">
        <f t="shared" si="10"/>
        <v>4800</v>
      </c>
      <c r="P632" s="44">
        <v>2.4500000000000002</v>
      </c>
    </row>
    <row r="633" spans="2:16" x14ac:dyDescent="0.35">
      <c r="B633" s="39" t="s">
        <v>3824</v>
      </c>
      <c r="C633" s="80" t="s">
        <v>4036</v>
      </c>
      <c r="D633" s="40">
        <v>45061</v>
      </c>
      <c r="E633" s="36">
        <v>45139</v>
      </c>
      <c r="F633" s="36">
        <v>46965</v>
      </c>
      <c r="G633" s="64" t="s">
        <v>6</v>
      </c>
      <c r="H633" s="38" t="s">
        <v>1300</v>
      </c>
      <c r="I633" s="35" t="s">
        <v>2506</v>
      </c>
      <c r="J633" s="38" t="s">
        <v>4628</v>
      </c>
      <c r="K633" s="38" t="s">
        <v>2586</v>
      </c>
      <c r="L633" s="45">
        <v>84000</v>
      </c>
      <c r="M633" s="30">
        <v>0</v>
      </c>
      <c r="N633" s="30">
        <v>0</v>
      </c>
      <c r="O633" s="30">
        <f t="shared" si="10"/>
        <v>84000</v>
      </c>
      <c r="P633" s="44">
        <v>2.4500000000000002</v>
      </c>
    </row>
    <row r="634" spans="2:16" x14ac:dyDescent="0.35">
      <c r="B634" s="39" t="s">
        <v>3822</v>
      </c>
      <c r="C634" s="80" t="s">
        <v>4037</v>
      </c>
      <c r="D634" s="40">
        <v>45061</v>
      </c>
      <c r="E634" s="36">
        <v>45139</v>
      </c>
      <c r="F634" s="36">
        <v>46234</v>
      </c>
      <c r="G634" s="64" t="s">
        <v>6</v>
      </c>
      <c r="H634" s="38" t="s">
        <v>3831</v>
      </c>
      <c r="I634" s="35" t="s">
        <v>2490</v>
      </c>
      <c r="J634" s="38" t="s">
        <v>4641</v>
      </c>
      <c r="K634" s="38" t="s">
        <v>2583</v>
      </c>
      <c r="L634" s="45">
        <v>5000</v>
      </c>
      <c r="M634" s="30">
        <v>0</v>
      </c>
      <c r="N634" s="30">
        <v>2000</v>
      </c>
      <c r="O634" s="30">
        <f t="shared" si="10"/>
        <v>3000</v>
      </c>
      <c r="P634" s="44">
        <v>1.1299999999999999</v>
      </c>
    </row>
    <row r="635" spans="2:16" ht="29" x14ac:dyDescent="0.35">
      <c r="B635" s="39" t="s">
        <v>3837</v>
      </c>
      <c r="C635" s="80" t="s">
        <v>4041</v>
      </c>
      <c r="D635" s="40">
        <v>44917</v>
      </c>
      <c r="E635" s="36">
        <v>45141</v>
      </c>
      <c r="F635" s="36">
        <v>46967</v>
      </c>
      <c r="G635" s="64" t="s">
        <v>6</v>
      </c>
      <c r="H635" s="38" t="s">
        <v>3447</v>
      </c>
      <c r="I635" s="35" t="s">
        <v>2473</v>
      </c>
      <c r="J635" s="38" t="s">
        <v>4600</v>
      </c>
      <c r="K635" s="38" t="s">
        <v>2583</v>
      </c>
      <c r="L635" s="45">
        <v>1500</v>
      </c>
      <c r="M635" s="30">
        <v>0</v>
      </c>
      <c r="N635" s="30">
        <v>0</v>
      </c>
      <c r="O635" s="30">
        <f t="shared" si="10"/>
        <v>1500</v>
      </c>
      <c r="P635" s="44">
        <v>4.6399999999999997</v>
      </c>
    </row>
    <row r="636" spans="2:16" ht="29" x14ac:dyDescent="0.35">
      <c r="B636" s="39" t="s">
        <v>3838</v>
      </c>
      <c r="C636" s="80" t="s">
        <v>4042</v>
      </c>
      <c r="D636" s="40">
        <v>44917</v>
      </c>
      <c r="E636" s="36">
        <v>45141</v>
      </c>
      <c r="F636" s="36">
        <v>46967</v>
      </c>
      <c r="G636" s="64" t="s">
        <v>6</v>
      </c>
      <c r="H636" s="38" t="s">
        <v>3447</v>
      </c>
      <c r="I636" s="35" t="s">
        <v>2473</v>
      </c>
      <c r="J636" s="38" t="s">
        <v>4600</v>
      </c>
      <c r="K636" s="38" t="s">
        <v>2586</v>
      </c>
      <c r="L636" s="45">
        <v>7300</v>
      </c>
      <c r="M636" s="30">
        <v>0</v>
      </c>
      <c r="N636" s="30">
        <v>0</v>
      </c>
      <c r="O636" s="30">
        <f t="shared" si="10"/>
        <v>7300</v>
      </c>
      <c r="P636" s="44">
        <v>4.6399999999999997</v>
      </c>
    </row>
    <row r="637" spans="2:16" ht="29" x14ac:dyDescent="0.35">
      <c r="B637" s="39" t="s">
        <v>3832</v>
      </c>
      <c r="C637" s="80" t="s">
        <v>4040</v>
      </c>
      <c r="D637" s="40">
        <v>45092</v>
      </c>
      <c r="E637" s="36">
        <v>45141</v>
      </c>
      <c r="F637" s="36">
        <v>46752</v>
      </c>
      <c r="G637" s="64" t="s">
        <v>6</v>
      </c>
      <c r="H637" s="38" t="s">
        <v>3836</v>
      </c>
      <c r="I637" s="35" t="s">
        <v>2498</v>
      </c>
      <c r="J637" s="38" t="s">
        <v>4621</v>
      </c>
      <c r="K637" s="38" t="s">
        <v>2583</v>
      </c>
      <c r="L637" s="45">
        <v>22500</v>
      </c>
      <c r="M637" s="30">
        <v>0</v>
      </c>
      <c r="N637" s="30">
        <v>0</v>
      </c>
      <c r="O637" s="30">
        <f t="shared" si="10"/>
        <v>22500</v>
      </c>
      <c r="P637" s="44">
        <v>12.02</v>
      </c>
    </row>
    <row r="638" spans="2:16" ht="29" x14ac:dyDescent="0.35">
      <c r="B638" s="39" t="s">
        <v>3833</v>
      </c>
      <c r="C638" s="80" t="s">
        <v>6541</v>
      </c>
      <c r="D638" s="40">
        <v>45695</v>
      </c>
      <c r="E638" s="36">
        <v>45292</v>
      </c>
      <c r="F638" s="36">
        <v>46387</v>
      </c>
      <c r="G638" s="64" t="s">
        <v>6</v>
      </c>
      <c r="H638" s="38" t="s">
        <v>3836</v>
      </c>
      <c r="I638" s="35" t="s">
        <v>2498</v>
      </c>
      <c r="J638" s="38" t="s">
        <v>4621</v>
      </c>
      <c r="K638" s="38" t="s">
        <v>2586</v>
      </c>
      <c r="L638" s="45">
        <v>154755</v>
      </c>
      <c r="M638" s="30">
        <v>0</v>
      </c>
      <c r="N638" s="30">
        <f>3386.02+5447.95+24648.4</f>
        <v>33482.370000000003</v>
      </c>
      <c r="O638" s="30">
        <f t="shared" si="10"/>
        <v>121272.63</v>
      </c>
      <c r="P638" s="44">
        <v>12.02</v>
      </c>
    </row>
    <row r="639" spans="2:16" ht="29" x14ac:dyDescent="0.35">
      <c r="B639" s="39" t="s">
        <v>3834</v>
      </c>
      <c r="C639" s="80" t="s">
        <v>4048</v>
      </c>
      <c r="D639" s="40">
        <v>45092</v>
      </c>
      <c r="E639" s="36">
        <v>45148</v>
      </c>
      <c r="F639" s="36">
        <v>46243</v>
      </c>
      <c r="G639" s="64" t="s">
        <v>6</v>
      </c>
      <c r="H639" s="38" t="s">
        <v>2650</v>
      </c>
      <c r="I639" s="35" t="s">
        <v>2491</v>
      </c>
      <c r="J639" s="38" t="s">
        <v>4642</v>
      </c>
      <c r="K639" s="38" t="s">
        <v>2583</v>
      </c>
      <c r="L639" s="45">
        <v>2250</v>
      </c>
      <c r="M639" s="30">
        <v>0</v>
      </c>
      <c r="N639" s="30">
        <v>0</v>
      </c>
      <c r="O639" s="30">
        <f t="shared" si="10"/>
        <v>2250</v>
      </c>
      <c r="P639" s="44">
        <v>3.51</v>
      </c>
    </row>
    <row r="640" spans="2:16" ht="29" x14ac:dyDescent="0.35">
      <c r="B640" s="39" t="s">
        <v>3835</v>
      </c>
      <c r="C640" s="80" t="s">
        <v>4049</v>
      </c>
      <c r="D640" s="40">
        <v>45092</v>
      </c>
      <c r="E640" s="36">
        <v>45148</v>
      </c>
      <c r="F640" s="36">
        <v>46974</v>
      </c>
      <c r="G640" s="64" t="s">
        <v>6</v>
      </c>
      <c r="H640" s="38" t="s">
        <v>2650</v>
      </c>
      <c r="I640" s="35" t="s">
        <v>2491</v>
      </c>
      <c r="J640" s="38" t="s">
        <v>4642</v>
      </c>
      <c r="K640" s="38" t="s">
        <v>2586</v>
      </c>
      <c r="L640" s="45">
        <v>22913</v>
      </c>
      <c r="M640" s="30">
        <v>0</v>
      </c>
      <c r="N640" s="30">
        <v>0</v>
      </c>
      <c r="O640" s="30">
        <f t="shared" si="10"/>
        <v>22913</v>
      </c>
      <c r="P640" s="44">
        <v>3.51</v>
      </c>
    </row>
    <row r="641" spans="2:16" x14ac:dyDescent="0.35">
      <c r="B641" s="35" t="s">
        <v>4043</v>
      </c>
      <c r="C641" s="80" t="s">
        <v>4044</v>
      </c>
      <c r="D641" s="40">
        <v>44972</v>
      </c>
      <c r="E641" s="36">
        <v>45148</v>
      </c>
      <c r="F641" s="36">
        <v>46974</v>
      </c>
      <c r="G641" s="64" t="s">
        <v>6</v>
      </c>
      <c r="H641" s="43" t="s">
        <v>4045</v>
      </c>
      <c r="I641" s="35" t="s">
        <v>2485</v>
      </c>
      <c r="J641" s="38" t="s">
        <v>4659</v>
      </c>
      <c r="K641" s="38" t="s">
        <v>2583</v>
      </c>
      <c r="L641" s="30">
        <v>33000</v>
      </c>
      <c r="M641" s="30">
        <v>0</v>
      </c>
      <c r="N641" s="30">
        <v>0</v>
      </c>
      <c r="O641" s="30">
        <f t="shared" si="10"/>
        <v>33000</v>
      </c>
      <c r="P641" s="44">
        <v>24.4</v>
      </c>
    </row>
    <row r="642" spans="2:16" x14ac:dyDescent="0.35">
      <c r="B642" s="35" t="s">
        <v>4046</v>
      </c>
      <c r="C642" s="80" t="s">
        <v>4047</v>
      </c>
      <c r="D642" s="40">
        <v>44972</v>
      </c>
      <c r="E642" s="36">
        <v>45148</v>
      </c>
      <c r="F642" s="36">
        <v>46243</v>
      </c>
      <c r="G642" s="64" t="s">
        <v>6</v>
      </c>
      <c r="H642" s="43" t="s">
        <v>4045</v>
      </c>
      <c r="I642" s="35" t="s">
        <v>2485</v>
      </c>
      <c r="J642" s="38" t="s">
        <v>4659</v>
      </c>
      <c r="K642" s="38" t="s">
        <v>2586</v>
      </c>
      <c r="L642" s="30">
        <v>1172000</v>
      </c>
      <c r="M642" s="30">
        <v>0</v>
      </c>
      <c r="N642" s="30">
        <v>414119.78</v>
      </c>
      <c r="O642" s="30">
        <f t="shared" si="10"/>
        <v>757880.22</v>
      </c>
      <c r="P642" s="44">
        <v>24.4</v>
      </c>
    </row>
    <row r="643" spans="2:16" ht="29" x14ac:dyDescent="0.35">
      <c r="B643" s="39" t="s">
        <v>3893</v>
      </c>
      <c r="C643" s="80" t="s">
        <v>5425</v>
      </c>
      <c r="D643" s="40">
        <v>45140</v>
      </c>
      <c r="E643" s="36">
        <v>45152</v>
      </c>
      <c r="F643" s="36">
        <v>45473</v>
      </c>
      <c r="G643" s="64" t="s">
        <v>6</v>
      </c>
      <c r="H643" s="38" t="s">
        <v>3895</v>
      </c>
      <c r="I643" s="39" t="s">
        <v>2480</v>
      </c>
      <c r="J643" s="38" t="s">
        <v>4651</v>
      </c>
      <c r="K643" s="38" t="s">
        <v>2574</v>
      </c>
      <c r="L643" s="45">
        <v>310000</v>
      </c>
      <c r="M643" s="30">
        <v>0</v>
      </c>
      <c r="N643" s="30">
        <f>179740.52+81934.43+24003.94+15453.26</f>
        <v>301132.14999999997</v>
      </c>
      <c r="O643" s="30">
        <f t="shared" si="10"/>
        <v>8867.8500000000349</v>
      </c>
      <c r="P643" s="43" t="s">
        <v>2874</v>
      </c>
    </row>
    <row r="644" spans="2:16" ht="29" x14ac:dyDescent="0.35">
      <c r="B644" s="39" t="s">
        <v>4070</v>
      </c>
      <c r="C644" s="80" t="s">
        <v>5685</v>
      </c>
      <c r="D644" s="40">
        <v>44740</v>
      </c>
      <c r="E644" s="46">
        <v>45160</v>
      </c>
      <c r="F644" s="36">
        <v>46669</v>
      </c>
      <c r="G644" s="64" t="s">
        <v>6</v>
      </c>
      <c r="H644" s="38" t="s">
        <v>2811</v>
      </c>
      <c r="I644" s="39" t="s">
        <v>2485</v>
      </c>
      <c r="J644" s="38" t="s">
        <v>4572</v>
      </c>
      <c r="K644" s="38" t="s">
        <v>2586</v>
      </c>
      <c r="L644" s="45">
        <v>250000</v>
      </c>
      <c r="M644" s="49">
        <v>0</v>
      </c>
      <c r="N644" s="49">
        <v>250000</v>
      </c>
      <c r="O644" s="30">
        <f t="shared" ref="O644:O707" si="11">L644-M644-N644</f>
        <v>0</v>
      </c>
      <c r="P644" s="44">
        <v>-6.57</v>
      </c>
    </row>
    <row r="645" spans="2:16" ht="29" x14ac:dyDescent="0.35">
      <c r="B645" s="39" t="s">
        <v>3149</v>
      </c>
      <c r="C645" s="80" t="s">
        <v>3899</v>
      </c>
      <c r="D645" s="40">
        <v>44740</v>
      </c>
      <c r="E645" s="46">
        <v>45160</v>
      </c>
      <c r="F645" s="46">
        <v>45939</v>
      </c>
      <c r="G645" s="64" t="s">
        <v>6</v>
      </c>
      <c r="H645" s="38" t="s">
        <v>2811</v>
      </c>
      <c r="I645" s="39" t="s">
        <v>2485</v>
      </c>
      <c r="J645" s="38" t="s">
        <v>4572</v>
      </c>
      <c r="K645" s="38" t="s">
        <v>2583</v>
      </c>
      <c r="L645" s="45">
        <v>11250</v>
      </c>
      <c r="M645" s="49">
        <v>0</v>
      </c>
      <c r="N645" s="49">
        <v>0</v>
      </c>
      <c r="O645" s="30">
        <f t="shared" si="11"/>
        <v>11250</v>
      </c>
      <c r="P645" s="44">
        <v>-6.57</v>
      </c>
    </row>
    <row r="646" spans="2:16" ht="29" x14ac:dyDescent="0.35">
      <c r="B646" s="39" t="s">
        <v>3819</v>
      </c>
      <c r="C646" s="80" t="s">
        <v>4050</v>
      </c>
      <c r="D646" s="40">
        <v>45061</v>
      </c>
      <c r="E646" s="36">
        <v>45160</v>
      </c>
      <c r="F646" s="36">
        <v>46986</v>
      </c>
      <c r="G646" s="64" t="s">
        <v>6</v>
      </c>
      <c r="H646" s="38" t="s">
        <v>3676</v>
      </c>
      <c r="I646" s="35" t="s">
        <v>2479</v>
      </c>
      <c r="J646" s="38" t="s">
        <v>3705</v>
      </c>
      <c r="K646" s="38" t="s">
        <v>2583</v>
      </c>
      <c r="L646" s="45">
        <v>75000</v>
      </c>
      <c r="M646" s="30">
        <v>0</v>
      </c>
      <c r="N646" s="30">
        <v>0</v>
      </c>
      <c r="O646" s="30">
        <f t="shared" si="11"/>
        <v>75000</v>
      </c>
      <c r="P646" s="44">
        <v>20.09</v>
      </c>
    </row>
    <row r="647" spans="2:16" ht="29" x14ac:dyDescent="0.35">
      <c r="B647" s="39" t="s">
        <v>3820</v>
      </c>
      <c r="C647" s="80" t="s">
        <v>4051</v>
      </c>
      <c r="D647" s="40">
        <v>45061</v>
      </c>
      <c r="E647" s="36">
        <v>45160</v>
      </c>
      <c r="F647" s="36">
        <v>46986</v>
      </c>
      <c r="G647" s="64" t="s">
        <v>6</v>
      </c>
      <c r="H647" s="38" t="s">
        <v>3676</v>
      </c>
      <c r="I647" s="35" t="s">
        <v>2479</v>
      </c>
      <c r="J647" s="38" t="s">
        <v>3705</v>
      </c>
      <c r="K647" s="38" t="s">
        <v>2586</v>
      </c>
      <c r="L647" s="45">
        <v>282000</v>
      </c>
      <c r="M647" s="30">
        <v>0</v>
      </c>
      <c r="N647" s="30">
        <v>0</v>
      </c>
      <c r="O647" s="30">
        <f t="shared" si="11"/>
        <v>282000</v>
      </c>
      <c r="P647" s="44">
        <v>20.09</v>
      </c>
    </row>
    <row r="648" spans="2:16" ht="29" x14ac:dyDescent="0.35">
      <c r="B648" s="39" t="s">
        <v>3821</v>
      </c>
      <c r="C648" s="80" t="s">
        <v>4052</v>
      </c>
      <c r="D648" s="40">
        <v>45061</v>
      </c>
      <c r="E648" s="36">
        <v>45160</v>
      </c>
      <c r="F648" s="36">
        <v>46986</v>
      </c>
      <c r="G648" s="64" t="s">
        <v>5683</v>
      </c>
      <c r="H648" s="38" t="s">
        <v>3676</v>
      </c>
      <c r="I648" s="35" t="s">
        <v>2479</v>
      </c>
      <c r="J648" s="43" t="s">
        <v>3705</v>
      </c>
      <c r="K648" s="43" t="s">
        <v>3665</v>
      </c>
      <c r="L648" s="45">
        <v>1560000</v>
      </c>
      <c r="M648" s="30">
        <f>1365323.46+194676.54</f>
        <v>1560000</v>
      </c>
      <c r="N648" s="30">
        <v>0</v>
      </c>
      <c r="O648" s="30">
        <f t="shared" si="11"/>
        <v>0</v>
      </c>
      <c r="P648" s="44" t="s">
        <v>6799</v>
      </c>
    </row>
    <row r="649" spans="2:16" ht="58" x14ac:dyDescent="0.35">
      <c r="B649" s="39" t="s">
        <v>3818</v>
      </c>
      <c r="C649" s="80" t="s">
        <v>4053</v>
      </c>
      <c r="D649" s="40">
        <v>45061</v>
      </c>
      <c r="E649" s="36">
        <v>45160</v>
      </c>
      <c r="F649" s="36">
        <v>46255</v>
      </c>
      <c r="G649" s="64" t="s">
        <v>6</v>
      </c>
      <c r="H649" s="38" t="s">
        <v>3721</v>
      </c>
      <c r="I649" s="35" t="s">
        <v>2538</v>
      </c>
      <c r="J649" s="38" t="s">
        <v>4632</v>
      </c>
      <c r="K649" s="38" t="s">
        <v>2583</v>
      </c>
      <c r="L649" s="45">
        <v>75000</v>
      </c>
      <c r="M649" s="30">
        <v>0</v>
      </c>
      <c r="N649" s="30">
        <v>14000</v>
      </c>
      <c r="O649" s="30">
        <f t="shared" si="11"/>
        <v>61000</v>
      </c>
      <c r="P649" s="44">
        <v>1.81</v>
      </c>
    </row>
    <row r="650" spans="2:16" ht="29" x14ac:dyDescent="0.35">
      <c r="B650" s="35" t="s">
        <v>3337</v>
      </c>
      <c r="C650" s="80" t="s">
        <v>5079</v>
      </c>
      <c r="D650" s="36">
        <v>44820</v>
      </c>
      <c r="E650" s="36">
        <v>45162</v>
      </c>
      <c r="F650" s="36">
        <v>46387</v>
      </c>
      <c r="G650" s="64" t="s">
        <v>6</v>
      </c>
      <c r="H650" s="43" t="s">
        <v>5080</v>
      </c>
      <c r="I650" s="35" t="s">
        <v>2480</v>
      </c>
      <c r="J650" s="43" t="s">
        <v>3338</v>
      </c>
      <c r="K650" s="43" t="s">
        <v>2584</v>
      </c>
      <c r="L650" s="49">
        <v>3000000</v>
      </c>
      <c r="M650" s="49">
        <v>0</v>
      </c>
      <c r="N650" s="49">
        <f>1500000+750000</f>
        <v>2250000</v>
      </c>
      <c r="O650" s="30">
        <f t="shared" si="11"/>
        <v>750000</v>
      </c>
      <c r="P650" s="43" t="s">
        <v>3412</v>
      </c>
    </row>
    <row r="651" spans="2:16" x14ac:dyDescent="0.35">
      <c r="B651" s="35" t="s">
        <v>4054</v>
      </c>
      <c r="C651" s="80" t="s">
        <v>4055</v>
      </c>
      <c r="D651" s="36">
        <v>44781</v>
      </c>
      <c r="E651" s="36">
        <v>45163</v>
      </c>
      <c r="F651" s="36">
        <v>45291</v>
      </c>
      <c r="G651" s="64" t="s">
        <v>6</v>
      </c>
      <c r="H651" s="43" t="s">
        <v>4056</v>
      </c>
      <c r="I651" s="35" t="s">
        <v>2492</v>
      </c>
      <c r="J651" s="43" t="s">
        <v>4660</v>
      </c>
      <c r="K651" s="43" t="s">
        <v>2706</v>
      </c>
      <c r="L651" s="30">
        <v>10000</v>
      </c>
      <c r="M651" s="30">
        <v>0</v>
      </c>
      <c r="N651" s="30">
        <f>5000+1351.47</f>
        <v>6351.47</v>
      </c>
      <c r="O651" s="30">
        <f t="shared" si="11"/>
        <v>3648.5299999999997</v>
      </c>
      <c r="P651" s="43" t="s">
        <v>2977</v>
      </c>
    </row>
    <row r="652" spans="2:16" ht="29" x14ac:dyDescent="0.35">
      <c r="B652" s="39" t="s">
        <v>3892</v>
      </c>
      <c r="C652" s="80" t="s">
        <v>4088</v>
      </c>
      <c r="D652" s="40">
        <v>45092</v>
      </c>
      <c r="E652" s="36">
        <v>45169</v>
      </c>
      <c r="F652" s="36">
        <v>46264</v>
      </c>
      <c r="G652" s="64" t="s">
        <v>6</v>
      </c>
      <c r="H652" s="38" t="s">
        <v>3894</v>
      </c>
      <c r="I652" s="35" t="s">
        <v>2528</v>
      </c>
      <c r="J652" s="38" t="s">
        <v>4650</v>
      </c>
      <c r="K652" s="38" t="s">
        <v>2583</v>
      </c>
      <c r="L652" s="45">
        <v>3750</v>
      </c>
      <c r="M652" s="30">
        <v>0</v>
      </c>
      <c r="N652" s="30">
        <v>0</v>
      </c>
      <c r="O652" s="30">
        <f t="shared" si="11"/>
        <v>3750</v>
      </c>
      <c r="P652" s="44">
        <v>1.1200000000000001</v>
      </c>
    </row>
    <row r="653" spans="2:16" x14ac:dyDescent="0.35">
      <c r="B653" s="35" t="s">
        <v>4089</v>
      </c>
      <c r="C653" s="80" t="s">
        <v>4095</v>
      </c>
      <c r="D653" s="36">
        <v>45140</v>
      </c>
      <c r="E653" s="36">
        <v>45169</v>
      </c>
      <c r="F653" s="36">
        <v>45473</v>
      </c>
      <c r="G653" s="64" t="s">
        <v>6</v>
      </c>
      <c r="H653" s="43" t="s">
        <v>3321</v>
      </c>
      <c r="I653" s="35" t="s">
        <v>2502</v>
      </c>
      <c r="J653" s="38" t="s">
        <v>3708</v>
      </c>
      <c r="K653" s="38" t="s">
        <v>2573</v>
      </c>
      <c r="L653" s="30">
        <v>1440</v>
      </c>
      <c r="M653" s="30">
        <v>0</v>
      </c>
      <c r="N653" s="30">
        <v>0</v>
      </c>
      <c r="O653" s="30">
        <f t="shared" si="11"/>
        <v>1440</v>
      </c>
      <c r="P653" s="44" t="s">
        <v>2874</v>
      </c>
    </row>
    <row r="654" spans="2:16" x14ac:dyDescent="0.35">
      <c r="B654" s="35" t="s">
        <v>3322</v>
      </c>
      <c r="C654" s="80" t="s">
        <v>4073</v>
      </c>
      <c r="D654" s="36">
        <v>44781</v>
      </c>
      <c r="E654" s="36">
        <v>45170</v>
      </c>
      <c r="F654" s="36">
        <v>45382</v>
      </c>
      <c r="G654" s="64" t="s">
        <v>6</v>
      </c>
      <c r="H654" s="43" t="s">
        <v>3406</v>
      </c>
      <c r="I654" s="35" t="s">
        <v>2816</v>
      </c>
      <c r="J654" s="43" t="s">
        <v>4596</v>
      </c>
      <c r="K654" s="38" t="s">
        <v>5558</v>
      </c>
      <c r="L654" s="30">
        <v>150000</v>
      </c>
      <c r="M654" s="30">
        <v>0</v>
      </c>
      <c r="N654" s="30">
        <v>75000</v>
      </c>
      <c r="O654" s="30">
        <f t="shared" si="11"/>
        <v>75000</v>
      </c>
      <c r="P654" s="44" t="s">
        <v>2977</v>
      </c>
    </row>
    <row r="655" spans="2:16" ht="29" x14ac:dyDescent="0.35">
      <c r="B655" s="39" t="s">
        <v>3891</v>
      </c>
      <c r="C655" s="80" t="s">
        <v>4090</v>
      </c>
      <c r="D655" s="40">
        <v>45061</v>
      </c>
      <c r="E655" s="36">
        <v>45173</v>
      </c>
      <c r="F655" s="36">
        <v>46999</v>
      </c>
      <c r="G655" s="64" t="s">
        <v>6</v>
      </c>
      <c r="H655" s="38" t="s">
        <v>3890</v>
      </c>
      <c r="I655" s="35" t="s">
        <v>2495</v>
      </c>
      <c r="J655" s="38" t="s">
        <v>4524</v>
      </c>
      <c r="K655" s="38" t="s">
        <v>2585</v>
      </c>
      <c r="L655" s="45">
        <v>7707846</v>
      </c>
      <c r="M655" s="30">
        <v>0</v>
      </c>
      <c r="N655" s="30">
        <f>462102.79+1074111.38</f>
        <v>1536214.17</v>
      </c>
      <c r="O655" s="30">
        <f t="shared" si="11"/>
        <v>6171631.8300000001</v>
      </c>
      <c r="P655" s="44">
        <v>2.0099999999999998</v>
      </c>
    </row>
    <row r="656" spans="2:16" x14ac:dyDescent="0.35">
      <c r="B656" s="39" t="s">
        <v>3828</v>
      </c>
      <c r="C656" s="80" t="s">
        <v>4091</v>
      </c>
      <c r="D656" s="40">
        <v>45061</v>
      </c>
      <c r="E656" s="36">
        <v>45175</v>
      </c>
      <c r="F656" s="36">
        <v>46270</v>
      </c>
      <c r="G656" s="64" t="s">
        <v>6</v>
      </c>
      <c r="H656" s="38" t="s">
        <v>3719</v>
      </c>
      <c r="I656" s="35" t="s">
        <v>2503</v>
      </c>
      <c r="J656" s="38" t="s">
        <v>4630</v>
      </c>
      <c r="K656" s="38" t="s">
        <v>2583</v>
      </c>
      <c r="L656" s="45">
        <v>72000</v>
      </c>
      <c r="M656" s="30">
        <v>0</v>
      </c>
      <c r="N656" s="30">
        <f>24000+24000</f>
        <v>48000</v>
      </c>
      <c r="O656" s="30">
        <f t="shared" si="11"/>
        <v>24000</v>
      </c>
      <c r="P656" s="44">
        <v>1.5</v>
      </c>
    </row>
    <row r="657" spans="2:16" x14ac:dyDescent="0.35">
      <c r="B657" s="39" t="s">
        <v>3827</v>
      </c>
      <c r="C657" s="80" t="s">
        <v>4092</v>
      </c>
      <c r="D657" s="40">
        <v>45061</v>
      </c>
      <c r="E657" s="36">
        <v>45175</v>
      </c>
      <c r="F657" s="36">
        <v>46270</v>
      </c>
      <c r="G657" s="64" t="s">
        <v>6</v>
      </c>
      <c r="H657" s="38" t="s">
        <v>3719</v>
      </c>
      <c r="I657" s="35" t="s">
        <v>2503</v>
      </c>
      <c r="J657" s="38" t="s">
        <v>4630</v>
      </c>
      <c r="K657" s="38" t="s">
        <v>2586</v>
      </c>
      <c r="L657" s="45">
        <v>980000</v>
      </c>
      <c r="M657" s="30">
        <v>0</v>
      </c>
      <c r="N657" s="30">
        <f>326666.67*2</f>
        <v>653333.34</v>
      </c>
      <c r="O657" s="30">
        <f t="shared" si="11"/>
        <v>326666.66000000003</v>
      </c>
      <c r="P657" s="44">
        <v>1.5</v>
      </c>
    </row>
    <row r="658" spans="2:16" ht="29" x14ac:dyDescent="0.35">
      <c r="B658" s="39" t="s">
        <v>3829</v>
      </c>
      <c r="C658" s="80" t="s">
        <v>4093</v>
      </c>
      <c r="D658" s="40">
        <v>45061</v>
      </c>
      <c r="E658" s="36">
        <v>45181</v>
      </c>
      <c r="F658" s="36">
        <v>46276</v>
      </c>
      <c r="G658" s="64" t="s">
        <v>6</v>
      </c>
      <c r="H658" s="38" t="s">
        <v>3673</v>
      </c>
      <c r="I658" s="35" t="s">
        <v>2492</v>
      </c>
      <c r="J658" s="38" t="s">
        <v>4626</v>
      </c>
      <c r="K658" s="38" t="s">
        <v>2583</v>
      </c>
      <c r="L658" s="45">
        <v>80000</v>
      </c>
      <c r="M658" s="30">
        <v>0</v>
      </c>
      <c r="N658" s="30">
        <v>0</v>
      </c>
      <c r="O658" s="30">
        <f t="shared" si="11"/>
        <v>80000</v>
      </c>
      <c r="P658" s="44">
        <v>7.22</v>
      </c>
    </row>
    <row r="659" spans="2:16" ht="29" x14ac:dyDescent="0.35">
      <c r="B659" s="39" t="s">
        <v>3830</v>
      </c>
      <c r="C659" s="80" t="s">
        <v>4094</v>
      </c>
      <c r="D659" s="40">
        <v>45061</v>
      </c>
      <c r="E659" s="36">
        <v>45181</v>
      </c>
      <c r="F659" s="36">
        <v>47007</v>
      </c>
      <c r="G659" s="64" t="s">
        <v>6</v>
      </c>
      <c r="H659" s="38" t="s">
        <v>3673</v>
      </c>
      <c r="I659" s="35" t="s">
        <v>2492</v>
      </c>
      <c r="J659" s="38" t="s">
        <v>4626</v>
      </c>
      <c r="K659" s="38" t="s">
        <v>2586</v>
      </c>
      <c r="L659" s="45">
        <v>500000</v>
      </c>
      <c r="M659" s="30">
        <v>0</v>
      </c>
      <c r="N659" s="30">
        <f>67980</f>
        <v>67980</v>
      </c>
      <c r="O659" s="30">
        <f t="shared" si="11"/>
        <v>432020</v>
      </c>
      <c r="P659" s="44">
        <v>7.22</v>
      </c>
    </row>
    <row r="660" spans="2:16" ht="43.5" x14ac:dyDescent="0.35">
      <c r="B660" s="35" t="s">
        <v>4105</v>
      </c>
      <c r="C660" s="80" t="s">
        <v>4106</v>
      </c>
      <c r="D660" s="36">
        <v>45140</v>
      </c>
      <c r="E660" s="36">
        <v>45181</v>
      </c>
      <c r="F660" s="36">
        <v>45546</v>
      </c>
      <c r="G660" s="64" t="s">
        <v>6</v>
      </c>
      <c r="H660" s="43" t="s">
        <v>3474</v>
      </c>
      <c r="I660" s="35" t="s">
        <v>2480</v>
      </c>
      <c r="J660" s="38" t="s">
        <v>4661</v>
      </c>
      <c r="K660" s="38" t="s">
        <v>2574</v>
      </c>
      <c r="L660" s="30">
        <v>400000</v>
      </c>
      <c r="M660" s="30">
        <v>0</v>
      </c>
      <c r="N660" s="30">
        <f>100000+100000+143055.64+56944.36</f>
        <v>400000</v>
      </c>
      <c r="O660" s="30">
        <f t="shared" si="11"/>
        <v>0</v>
      </c>
      <c r="P660" s="43" t="s">
        <v>2874</v>
      </c>
    </row>
    <row r="661" spans="2:16" ht="29" x14ac:dyDescent="0.35">
      <c r="B661" s="35" t="s">
        <v>4107</v>
      </c>
      <c r="C661" s="94" t="s">
        <v>4108</v>
      </c>
      <c r="D661" s="36">
        <v>44910</v>
      </c>
      <c r="E661" s="36">
        <v>45190</v>
      </c>
      <c r="F661" s="36">
        <v>47016</v>
      </c>
      <c r="G661" s="64" t="s">
        <v>6</v>
      </c>
      <c r="H661" s="43" t="s">
        <v>4109</v>
      </c>
      <c r="I661" s="35" t="s">
        <v>2540</v>
      </c>
      <c r="J661" s="38" t="s">
        <v>4138</v>
      </c>
      <c r="K661" s="38" t="s">
        <v>2586</v>
      </c>
      <c r="L661" s="30">
        <v>810000</v>
      </c>
      <c r="M661" s="30">
        <v>0</v>
      </c>
      <c r="N661" s="30">
        <v>778417.39</v>
      </c>
      <c r="O661" s="30">
        <f t="shared" si="11"/>
        <v>31582.609999999986</v>
      </c>
      <c r="P661" s="44">
        <v>1.03</v>
      </c>
    </row>
    <row r="662" spans="2:16" x14ac:dyDescent="0.35">
      <c r="B662" s="39" t="s">
        <v>2457</v>
      </c>
      <c r="C662" s="101" t="s">
        <v>4099</v>
      </c>
      <c r="D662" s="40">
        <v>44109</v>
      </c>
      <c r="E662" s="40">
        <v>45192</v>
      </c>
      <c r="F662" s="40">
        <v>46366</v>
      </c>
      <c r="G662" s="63" t="s">
        <v>6</v>
      </c>
      <c r="H662" s="38" t="s">
        <v>2458</v>
      </c>
      <c r="I662" s="39" t="s">
        <v>2483</v>
      </c>
      <c r="J662" s="38" t="s">
        <v>2552</v>
      </c>
      <c r="K662" s="38" t="s">
        <v>2583</v>
      </c>
      <c r="L662" s="31">
        <v>2500000</v>
      </c>
      <c r="M662" s="31">
        <v>0</v>
      </c>
      <c r="N662" s="31">
        <f>1205000+440000</f>
        <v>1645000</v>
      </c>
      <c r="O662" s="30">
        <f t="shared" si="11"/>
        <v>855000</v>
      </c>
      <c r="P662" s="26">
        <v>6.48</v>
      </c>
    </row>
    <row r="663" spans="2:16" x14ac:dyDescent="0.35">
      <c r="B663" s="35" t="s">
        <v>5428</v>
      </c>
      <c r="C663" s="80" t="s">
        <v>5429</v>
      </c>
      <c r="D663" s="36">
        <v>45177</v>
      </c>
      <c r="E663" s="36">
        <v>45197</v>
      </c>
      <c r="F663" s="36">
        <v>46292</v>
      </c>
      <c r="G663" s="64" t="s">
        <v>6</v>
      </c>
      <c r="H663" s="35" t="s">
        <v>3155</v>
      </c>
      <c r="I663" s="35" t="s">
        <v>3177</v>
      </c>
      <c r="J663" s="43" t="s">
        <v>4746</v>
      </c>
      <c r="K663" s="43" t="s">
        <v>2583</v>
      </c>
      <c r="L663" s="30">
        <v>8000</v>
      </c>
      <c r="M663" s="30">
        <v>0</v>
      </c>
      <c r="N663" s="30">
        <f>4799.97</f>
        <v>4799.97</v>
      </c>
      <c r="O663" s="30">
        <f t="shared" si="11"/>
        <v>3200.0299999999997</v>
      </c>
      <c r="P663" s="44">
        <v>1.91</v>
      </c>
    </row>
    <row r="664" spans="2:16" x14ac:dyDescent="0.35">
      <c r="B664" s="35" t="s">
        <v>5430</v>
      </c>
      <c r="C664" s="80" t="s">
        <v>5431</v>
      </c>
      <c r="D664" s="36">
        <v>45177</v>
      </c>
      <c r="E664" s="36">
        <v>45197</v>
      </c>
      <c r="F664" s="36">
        <v>47023</v>
      </c>
      <c r="G664" s="64" t="s">
        <v>6</v>
      </c>
      <c r="H664" s="35" t="s">
        <v>3155</v>
      </c>
      <c r="I664" s="35" t="s">
        <v>3177</v>
      </c>
      <c r="J664" s="43" t="s">
        <v>4746</v>
      </c>
      <c r="K664" s="43" t="s">
        <v>2586</v>
      </c>
      <c r="L664" s="30">
        <v>350000</v>
      </c>
      <c r="M664" s="30">
        <v>0</v>
      </c>
      <c r="N664" s="30">
        <f>213664.2</f>
        <v>213664.2</v>
      </c>
      <c r="O664" s="30">
        <f t="shared" si="11"/>
        <v>136335.79999999999</v>
      </c>
      <c r="P664" s="44">
        <v>1.91</v>
      </c>
    </row>
    <row r="665" spans="2:16" ht="29" x14ac:dyDescent="0.35">
      <c r="B665" s="35" t="s">
        <v>4111</v>
      </c>
      <c r="C665" s="80" t="s">
        <v>4110</v>
      </c>
      <c r="D665" s="36">
        <v>45140</v>
      </c>
      <c r="E665" s="36">
        <v>45201</v>
      </c>
      <c r="F665" s="36">
        <v>45291</v>
      </c>
      <c r="G665" s="64" t="s">
        <v>6</v>
      </c>
      <c r="H665" s="43" t="s">
        <v>3912</v>
      </c>
      <c r="I665" s="35" t="s">
        <v>2491</v>
      </c>
      <c r="J665" s="43" t="s">
        <v>4652</v>
      </c>
      <c r="K665" s="43" t="s">
        <v>3555</v>
      </c>
      <c r="L665" s="30">
        <v>33600</v>
      </c>
      <c r="M665" s="30">
        <v>0</v>
      </c>
      <c r="N665" s="30">
        <v>30800</v>
      </c>
      <c r="O665" s="30">
        <f t="shared" si="11"/>
        <v>2800</v>
      </c>
      <c r="P665" s="43" t="s">
        <v>2874</v>
      </c>
    </row>
    <row r="666" spans="2:16" x14ac:dyDescent="0.35">
      <c r="B666" s="35" t="s">
        <v>4113</v>
      </c>
      <c r="C666" s="80" t="s">
        <v>4112</v>
      </c>
      <c r="D666" s="36">
        <v>45140</v>
      </c>
      <c r="E666" s="36">
        <v>45202</v>
      </c>
      <c r="F666" s="36">
        <v>46297</v>
      </c>
      <c r="G666" s="64" t="s">
        <v>6</v>
      </c>
      <c r="H666" s="43" t="s">
        <v>3850</v>
      </c>
      <c r="I666" s="35" t="s">
        <v>2534</v>
      </c>
      <c r="J666" s="43" t="s">
        <v>4139</v>
      </c>
      <c r="K666" s="43" t="s">
        <v>2573</v>
      </c>
      <c r="L666" s="30">
        <v>1036.92</v>
      </c>
      <c r="M666" s="30">
        <v>0</v>
      </c>
      <c r="N666" s="30">
        <v>958.87</v>
      </c>
      <c r="O666" s="30">
        <f t="shared" si="11"/>
        <v>78.050000000000068</v>
      </c>
      <c r="P666" s="43" t="s">
        <v>2874</v>
      </c>
    </row>
    <row r="667" spans="2:16" x14ac:dyDescent="0.35">
      <c r="B667" s="39" t="s">
        <v>2661</v>
      </c>
      <c r="C667" s="101" t="s">
        <v>4100</v>
      </c>
      <c r="D667" s="40">
        <v>44175</v>
      </c>
      <c r="E667" s="40">
        <v>45203</v>
      </c>
      <c r="F667" s="40">
        <v>46202</v>
      </c>
      <c r="G667" s="63" t="s">
        <v>6</v>
      </c>
      <c r="H667" s="38" t="s">
        <v>2630</v>
      </c>
      <c r="I667" s="39" t="s">
        <v>2480</v>
      </c>
      <c r="J667" s="38" t="s">
        <v>2699</v>
      </c>
      <c r="K667" s="38" t="s">
        <v>2583</v>
      </c>
      <c r="L667" s="31">
        <v>125000</v>
      </c>
      <c r="M667" s="31">
        <v>0</v>
      </c>
      <c r="N667" s="31">
        <v>0</v>
      </c>
      <c r="O667" s="30">
        <f t="shared" si="11"/>
        <v>125000</v>
      </c>
      <c r="P667" s="26">
        <v>0.83</v>
      </c>
    </row>
    <row r="668" spans="2:16" x14ac:dyDescent="0.35">
      <c r="B668" s="39" t="s">
        <v>3445</v>
      </c>
      <c r="C668" s="80" t="s">
        <v>4102</v>
      </c>
      <c r="D668" s="40">
        <v>44949</v>
      </c>
      <c r="E668" s="36">
        <v>45203</v>
      </c>
      <c r="F668" s="36">
        <v>46835</v>
      </c>
      <c r="G668" s="64" t="s">
        <v>6</v>
      </c>
      <c r="H668" s="38" t="s">
        <v>3452</v>
      </c>
      <c r="I668" s="35" t="s">
        <v>2816</v>
      </c>
      <c r="J668" s="38" t="s">
        <v>3478</v>
      </c>
      <c r="K668" s="38" t="s">
        <v>2583</v>
      </c>
      <c r="L668" s="45">
        <v>4800</v>
      </c>
      <c r="M668" s="30">
        <v>0</v>
      </c>
      <c r="N668" s="30">
        <v>0</v>
      </c>
      <c r="O668" s="30">
        <f t="shared" si="11"/>
        <v>4800</v>
      </c>
      <c r="P668" s="44">
        <v>1.1299999999999999</v>
      </c>
    </row>
    <row r="669" spans="2:16" x14ac:dyDescent="0.35">
      <c r="B669" s="39" t="s">
        <v>3446</v>
      </c>
      <c r="C669" s="80" t="s">
        <v>4103</v>
      </c>
      <c r="D669" s="40">
        <v>44949</v>
      </c>
      <c r="E669" s="36">
        <v>45203</v>
      </c>
      <c r="F669" s="36">
        <v>46835</v>
      </c>
      <c r="G669" s="64" t="s">
        <v>6</v>
      </c>
      <c r="H669" s="38" t="s">
        <v>3452</v>
      </c>
      <c r="I669" s="35" t="s">
        <v>2816</v>
      </c>
      <c r="J669" s="38" t="s">
        <v>3478</v>
      </c>
      <c r="K669" s="38" t="s">
        <v>2586</v>
      </c>
      <c r="L669" s="45">
        <v>65000</v>
      </c>
      <c r="M669" s="30">
        <v>0</v>
      </c>
      <c r="N669" s="30">
        <v>55877.94</v>
      </c>
      <c r="O669" s="30">
        <f t="shared" si="11"/>
        <v>9122.0599999999977</v>
      </c>
      <c r="P669" s="44">
        <v>1.1299999999999999</v>
      </c>
    </row>
    <row r="670" spans="2:16" ht="43.5" x14ac:dyDescent="0.35">
      <c r="B670" s="35" t="s">
        <v>4115</v>
      </c>
      <c r="C670" s="80" t="s">
        <v>4114</v>
      </c>
      <c r="D670" s="36">
        <v>45177</v>
      </c>
      <c r="E670" s="36">
        <v>45203</v>
      </c>
      <c r="F670" s="36">
        <v>46298</v>
      </c>
      <c r="G670" s="64" t="s">
        <v>6</v>
      </c>
      <c r="H670" s="43" t="s">
        <v>2432</v>
      </c>
      <c r="I670" s="35" t="s">
        <v>2495</v>
      </c>
      <c r="J670" s="38" t="s">
        <v>4140</v>
      </c>
      <c r="K670" s="38" t="s">
        <v>2583</v>
      </c>
      <c r="L670" s="30">
        <v>7500</v>
      </c>
      <c r="M670" s="30">
        <v>0</v>
      </c>
      <c r="N670" s="30">
        <v>0</v>
      </c>
      <c r="O670" s="30">
        <f t="shared" si="11"/>
        <v>7500</v>
      </c>
      <c r="P670" s="44">
        <v>15.87</v>
      </c>
    </row>
    <row r="671" spans="2:16" ht="43.5" x14ac:dyDescent="0.35">
      <c r="B671" s="35" t="s">
        <v>4116</v>
      </c>
      <c r="C671" s="80" t="s">
        <v>4117</v>
      </c>
      <c r="D671" s="36">
        <v>45177</v>
      </c>
      <c r="E671" s="36">
        <v>45203</v>
      </c>
      <c r="F671" s="36">
        <v>47029</v>
      </c>
      <c r="G671" s="64" t="s">
        <v>6</v>
      </c>
      <c r="H671" s="43" t="s">
        <v>2432</v>
      </c>
      <c r="I671" s="35" t="s">
        <v>2495</v>
      </c>
      <c r="J671" s="38" t="s">
        <v>4140</v>
      </c>
      <c r="K671" s="38" t="s">
        <v>2586</v>
      </c>
      <c r="L671" s="30">
        <v>57767.1</v>
      </c>
      <c r="M671" s="30">
        <v>0</v>
      </c>
      <c r="N671" s="30">
        <f>2132.28+23793</f>
        <v>25925.279999999999</v>
      </c>
      <c r="O671" s="30">
        <f t="shared" si="11"/>
        <v>31841.82</v>
      </c>
      <c r="P671" s="44">
        <v>15.87</v>
      </c>
    </row>
    <row r="672" spans="2:16" ht="29" x14ac:dyDescent="0.35">
      <c r="B672" s="35" t="s">
        <v>4113</v>
      </c>
      <c r="C672" s="80" t="s">
        <v>4144</v>
      </c>
      <c r="D672" s="36">
        <v>45140</v>
      </c>
      <c r="E672" s="36">
        <v>45203</v>
      </c>
      <c r="F672" s="36">
        <v>46298</v>
      </c>
      <c r="G672" s="64" t="s">
        <v>5683</v>
      </c>
      <c r="H672" s="43" t="s">
        <v>4145</v>
      </c>
      <c r="I672" s="35" t="s">
        <v>2505</v>
      </c>
      <c r="J672" s="43" t="s">
        <v>4139</v>
      </c>
      <c r="K672" s="43" t="s">
        <v>2573</v>
      </c>
      <c r="L672" s="30">
        <v>1000</v>
      </c>
      <c r="M672" s="30">
        <v>16.12</v>
      </c>
      <c r="N672" s="30">
        <v>983.88</v>
      </c>
      <c r="O672" s="30">
        <f t="shared" si="11"/>
        <v>0</v>
      </c>
      <c r="P672" s="43" t="s">
        <v>6515</v>
      </c>
    </row>
    <row r="673" spans="2:16" ht="29" x14ac:dyDescent="0.35">
      <c r="B673" s="35" t="s">
        <v>4119</v>
      </c>
      <c r="C673" s="80" t="s">
        <v>4118</v>
      </c>
      <c r="D673" s="36">
        <v>44972</v>
      </c>
      <c r="E673" s="36">
        <v>45204</v>
      </c>
      <c r="F673" s="36">
        <v>47030</v>
      </c>
      <c r="G673" s="64" t="s">
        <v>6</v>
      </c>
      <c r="H673" s="43" t="s">
        <v>1906</v>
      </c>
      <c r="I673" s="35" t="s">
        <v>2480</v>
      </c>
      <c r="J673" s="38" t="s">
        <v>4629</v>
      </c>
      <c r="K673" s="38" t="s">
        <v>2583</v>
      </c>
      <c r="L673" s="30">
        <v>95000</v>
      </c>
      <c r="M673" s="30">
        <v>0</v>
      </c>
      <c r="N673" s="30">
        <v>0</v>
      </c>
      <c r="O673" s="30">
        <f t="shared" si="11"/>
        <v>95000</v>
      </c>
      <c r="P673" s="44">
        <v>6.17</v>
      </c>
    </row>
    <row r="674" spans="2:16" ht="29" x14ac:dyDescent="0.35">
      <c r="B674" s="35" t="s">
        <v>4120</v>
      </c>
      <c r="C674" s="80" t="s">
        <v>4121</v>
      </c>
      <c r="D674" s="36">
        <v>44972</v>
      </c>
      <c r="E674" s="36">
        <v>45204</v>
      </c>
      <c r="F674" s="36">
        <v>47030</v>
      </c>
      <c r="G674" s="64" t="s">
        <v>6</v>
      </c>
      <c r="H674" s="43" t="s">
        <v>1906</v>
      </c>
      <c r="I674" s="35" t="s">
        <v>2480</v>
      </c>
      <c r="J674" s="38" t="s">
        <v>4629</v>
      </c>
      <c r="K674" s="38" t="s">
        <v>2586</v>
      </c>
      <c r="L674" s="30">
        <v>73770</v>
      </c>
      <c r="M674" s="30">
        <v>0</v>
      </c>
      <c r="N674" s="30">
        <v>0</v>
      </c>
      <c r="O674" s="30">
        <f t="shared" si="11"/>
        <v>73770</v>
      </c>
      <c r="P674" s="44">
        <v>6.17</v>
      </c>
    </row>
    <row r="675" spans="2:16" x14ac:dyDescent="0.35">
      <c r="B675" s="35" t="s">
        <v>4089</v>
      </c>
      <c r="C675" s="80" t="s">
        <v>4122</v>
      </c>
      <c r="D675" s="36">
        <v>45140</v>
      </c>
      <c r="E675" s="36">
        <v>45205</v>
      </c>
      <c r="F675" s="36">
        <v>45473</v>
      </c>
      <c r="G675" s="64" t="s">
        <v>6</v>
      </c>
      <c r="H675" s="43" t="s">
        <v>45</v>
      </c>
      <c r="I675" s="35" t="s">
        <v>2476</v>
      </c>
      <c r="J675" s="43" t="s">
        <v>4662</v>
      </c>
      <c r="K675" s="43" t="s">
        <v>2573</v>
      </c>
      <c r="L675" s="30">
        <v>2000</v>
      </c>
      <c r="M675" s="30">
        <v>0</v>
      </c>
      <c r="N675" s="30">
        <v>0</v>
      </c>
      <c r="O675" s="30">
        <f t="shared" si="11"/>
        <v>2000</v>
      </c>
      <c r="P675" s="43" t="s">
        <v>2874</v>
      </c>
    </row>
    <row r="676" spans="2:16" x14ac:dyDescent="0.35">
      <c r="B676" s="35" t="s">
        <v>4124</v>
      </c>
      <c r="C676" s="80" t="s">
        <v>4123</v>
      </c>
      <c r="D676" s="36">
        <v>45177</v>
      </c>
      <c r="E676" s="36">
        <v>45208</v>
      </c>
      <c r="F676" s="36">
        <v>47034</v>
      </c>
      <c r="G676" s="64" t="s">
        <v>6</v>
      </c>
      <c r="H676" s="43" t="s">
        <v>4125</v>
      </c>
      <c r="I676" s="35" t="s">
        <v>2518</v>
      </c>
      <c r="J676" s="38" t="s">
        <v>4663</v>
      </c>
      <c r="K676" s="38" t="s">
        <v>2586</v>
      </c>
      <c r="L676" s="30">
        <v>27900</v>
      </c>
      <c r="M676" s="30">
        <v>0</v>
      </c>
      <c r="N676" s="30">
        <v>0</v>
      </c>
      <c r="O676" s="30">
        <f t="shared" si="11"/>
        <v>27900</v>
      </c>
      <c r="P676" s="44">
        <v>1.8</v>
      </c>
    </row>
    <row r="677" spans="2:16" x14ac:dyDescent="0.35">
      <c r="B677" s="35" t="s">
        <v>4113</v>
      </c>
      <c r="C677" s="80" t="s">
        <v>4127</v>
      </c>
      <c r="D677" s="36">
        <v>45140</v>
      </c>
      <c r="E677" s="36">
        <v>45210</v>
      </c>
      <c r="F677" s="36">
        <v>46305</v>
      </c>
      <c r="G677" s="64" t="s">
        <v>6</v>
      </c>
      <c r="H677" s="43" t="s">
        <v>940</v>
      </c>
      <c r="I677" s="35" t="s">
        <v>2782</v>
      </c>
      <c r="J677" s="43" t="s">
        <v>4141</v>
      </c>
      <c r="K677" s="43" t="s">
        <v>2573</v>
      </c>
      <c r="L677" s="30">
        <v>1060</v>
      </c>
      <c r="M677" s="30">
        <v>0</v>
      </c>
      <c r="N677" s="30">
        <v>1000</v>
      </c>
      <c r="O677" s="30">
        <f t="shared" si="11"/>
        <v>60</v>
      </c>
      <c r="P677" s="43" t="s">
        <v>2874</v>
      </c>
    </row>
    <row r="678" spans="2:16" x14ac:dyDescent="0.35">
      <c r="B678" s="35" t="s">
        <v>4113</v>
      </c>
      <c r="C678" s="80" t="s">
        <v>4128</v>
      </c>
      <c r="D678" s="36">
        <v>45140</v>
      </c>
      <c r="E678" s="36">
        <v>45210</v>
      </c>
      <c r="F678" s="36">
        <v>46305</v>
      </c>
      <c r="G678" s="64" t="s">
        <v>6</v>
      </c>
      <c r="H678" s="43" t="s">
        <v>4129</v>
      </c>
      <c r="I678" s="35" t="s">
        <v>2495</v>
      </c>
      <c r="J678" s="43" t="s">
        <v>4142</v>
      </c>
      <c r="K678" s="43" t="s">
        <v>2573</v>
      </c>
      <c r="L678" s="30">
        <v>994.58</v>
      </c>
      <c r="M678" s="30">
        <v>0</v>
      </c>
      <c r="N678" s="30">
        <v>892</v>
      </c>
      <c r="O678" s="30">
        <f t="shared" si="11"/>
        <v>102.58000000000004</v>
      </c>
      <c r="P678" s="43" t="s">
        <v>2874</v>
      </c>
    </row>
    <row r="679" spans="2:16" ht="29" x14ac:dyDescent="0.35">
      <c r="B679" s="35" t="s">
        <v>4089</v>
      </c>
      <c r="C679" s="80" t="s">
        <v>4130</v>
      </c>
      <c r="D679" s="36">
        <v>45140</v>
      </c>
      <c r="E679" s="36">
        <v>45210</v>
      </c>
      <c r="F679" s="36">
        <v>45473</v>
      </c>
      <c r="G679" s="64" t="s">
        <v>6</v>
      </c>
      <c r="H679" s="43" t="s">
        <v>4131</v>
      </c>
      <c r="I679" s="35" t="s">
        <v>2477</v>
      </c>
      <c r="J679" s="43" t="s">
        <v>4664</v>
      </c>
      <c r="K679" s="43" t="s">
        <v>2573</v>
      </c>
      <c r="L679" s="30">
        <v>1200</v>
      </c>
      <c r="M679" s="30">
        <v>0</v>
      </c>
      <c r="N679" s="30">
        <v>949.02</v>
      </c>
      <c r="O679" s="30">
        <f t="shared" si="11"/>
        <v>250.98000000000002</v>
      </c>
      <c r="P679" s="43" t="s">
        <v>2874</v>
      </c>
    </row>
    <row r="680" spans="2:16" ht="29" x14ac:dyDescent="0.35">
      <c r="B680" s="35" t="s">
        <v>4089</v>
      </c>
      <c r="C680" s="80" t="s">
        <v>4132</v>
      </c>
      <c r="D680" s="36">
        <v>45140</v>
      </c>
      <c r="E680" s="36">
        <v>45210</v>
      </c>
      <c r="F680" s="36">
        <v>45473</v>
      </c>
      <c r="G680" s="64" t="s">
        <v>6</v>
      </c>
      <c r="H680" s="43" t="s">
        <v>4133</v>
      </c>
      <c r="I680" s="35" t="s">
        <v>2534</v>
      </c>
      <c r="J680" s="43" t="s">
        <v>4664</v>
      </c>
      <c r="K680" s="43" t="s">
        <v>2573</v>
      </c>
      <c r="L680" s="30">
        <v>1200</v>
      </c>
      <c r="M680" s="30">
        <v>0</v>
      </c>
      <c r="N680" s="30">
        <v>1044.9100000000001</v>
      </c>
      <c r="O680" s="30">
        <f t="shared" si="11"/>
        <v>155.08999999999992</v>
      </c>
      <c r="P680" s="43" t="s">
        <v>2874</v>
      </c>
    </row>
    <row r="681" spans="2:16" ht="29" x14ac:dyDescent="0.35">
      <c r="B681" s="35" t="s">
        <v>4089</v>
      </c>
      <c r="C681" s="80" t="s">
        <v>4134</v>
      </c>
      <c r="D681" s="36">
        <v>45140</v>
      </c>
      <c r="E681" s="36">
        <v>45210</v>
      </c>
      <c r="F681" s="36">
        <v>45473</v>
      </c>
      <c r="G681" s="64" t="s">
        <v>6</v>
      </c>
      <c r="H681" s="43" t="s">
        <v>4135</v>
      </c>
      <c r="I681" s="35" t="s">
        <v>2534</v>
      </c>
      <c r="J681" s="43" t="s">
        <v>4664</v>
      </c>
      <c r="K681" s="43" t="s">
        <v>2573</v>
      </c>
      <c r="L681" s="30">
        <v>1200</v>
      </c>
      <c r="M681" s="30">
        <v>0</v>
      </c>
      <c r="N681" s="30">
        <v>1121.9100000000001</v>
      </c>
      <c r="O681" s="30">
        <f t="shared" si="11"/>
        <v>78.089999999999918</v>
      </c>
      <c r="P681" s="43" t="s">
        <v>2874</v>
      </c>
    </row>
    <row r="682" spans="2:16" ht="29" x14ac:dyDescent="0.35">
      <c r="B682" s="35" t="s">
        <v>4111</v>
      </c>
      <c r="C682" s="80" t="s">
        <v>4146</v>
      </c>
      <c r="D682" s="36">
        <v>45140</v>
      </c>
      <c r="E682" s="36">
        <v>45211</v>
      </c>
      <c r="F682" s="36">
        <v>45941</v>
      </c>
      <c r="G682" s="64" t="s">
        <v>6</v>
      </c>
      <c r="H682" s="43" t="s">
        <v>4147</v>
      </c>
      <c r="I682" s="35" t="s">
        <v>2490</v>
      </c>
      <c r="J682" s="43" t="s">
        <v>5784</v>
      </c>
      <c r="K682" s="43" t="s">
        <v>3555</v>
      </c>
      <c r="L682" s="30">
        <v>20000</v>
      </c>
      <c r="M682" s="30">
        <v>0</v>
      </c>
      <c r="N682" s="30">
        <f>1500+5000+1500+1500+1500+3000+1500+3500</f>
        <v>19000</v>
      </c>
      <c r="O682" s="30">
        <f t="shared" si="11"/>
        <v>1000</v>
      </c>
      <c r="P682" s="43" t="s">
        <v>2874</v>
      </c>
    </row>
    <row r="683" spans="2:16" ht="29" x14ac:dyDescent="0.35">
      <c r="B683" s="35" t="s">
        <v>4111</v>
      </c>
      <c r="C683" s="80" t="s">
        <v>4148</v>
      </c>
      <c r="D683" s="36">
        <v>45140</v>
      </c>
      <c r="E683" s="36">
        <v>45211</v>
      </c>
      <c r="F683" s="36">
        <v>45941</v>
      </c>
      <c r="G683" s="64" t="s">
        <v>6</v>
      </c>
      <c r="H683" s="43" t="s">
        <v>4149</v>
      </c>
      <c r="I683" s="35" t="s">
        <v>2480</v>
      </c>
      <c r="J683" s="43" t="s">
        <v>4636</v>
      </c>
      <c r="K683" s="43" t="s">
        <v>3555</v>
      </c>
      <c r="L683" s="30">
        <v>30000</v>
      </c>
      <c r="M683" s="30">
        <v>0</v>
      </c>
      <c r="N683" s="30">
        <v>14081.61</v>
      </c>
      <c r="O683" s="30">
        <f t="shared" si="11"/>
        <v>15918.39</v>
      </c>
      <c r="P683" s="43" t="s">
        <v>2874</v>
      </c>
    </row>
    <row r="684" spans="2:16" ht="29" x14ac:dyDescent="0.35">
      <c r="B684" s="35" t="s">
        <v>4111</v>
      </c>
      <c r="C684" s="80" t="s">
        <v>4150</v>
      </c>
      <c r="D684" s="36">
        <v>45140</v>
      </c>
      <c r="E684" s="36">
        <v>45211</v>
      </c>
      <c r="F684" s="36">
        <v>45941</v>
      </c>
      <c r="G684" s="64" t="s">
        <v>6</v>
      </c>
      <c r="H684" s="43" t="s">
        <v>4151</v>
      </c>
      <c r="I684" s="35" t="s">
        <v>2529</v>
      </c>
      <c r="J684" s="43" t="s">
        <v>4636</v>
      </c>
      <c r="K684" s="43" t="s">
        <v>3555</v>
      </c>
      <c r="L684" s="30">
        <v>20000</v>
      </c>
      <c r="M684" s="30">
        <v>0</v>
      </c>
      <c r="N684" s="30">
        <f>5355</f>
        <v>5355</v>
      </c>
      <c r="O684" s="30">
        <f t="shared" si="11"/>
        <v>14645</v>
      </c>
      <c r="P684" s="43" t="s">
        <v>2874</v>
      </c>
    </row>
    <row r="685" spans="2:16" ht="29" x14ac:dyDescent="0.35">
      <c r="B685" s="35" t="s">
        <v>4111</v>
      </c>
      <c r="C685" s="80" t="s">
        <v>4152</v>
      </c>
      <c r="D685" s="36">
        <v>45140</v>
      </c>
      <c r="E685" s="36">
        <v>45211</v>
      </c>
      <c r="F685" s="36">
        <v>45941</v>
      </c>
      <c r="G685" s="64" t="s">
        <v>6</v>
      </c>
      <c r="H685" s="43" t="s">
        <v>4153</v>
      </c>
      <c r="I685" s="35" t="s">
        <v>2487</v>
      </c>
      <c r="J685" s="43" t="s">
        <v>4636</v>
      </c>
      <c r="K685" s="43" t="s">
        <v>3555</v>
      </c>
      <c r="L685" s="30">
        <v>20000</v>
      </c>
      <c r="M685" s="30">
        <v>0</v>
      </c>
      <c r="N685" s="30">
        <f>642.24+2495</f>
        <v>3137.24</v>
      </c>
      <c r="O685" s="30">
        <f t="shared" si="11"/>
        <v>16862.760000000002</v>
      </c>
      <c r="P685" s="43" t="s">
        <v>2874</v>
      </c>
    </row>
    <row r="686" spans="2:16" ht="29" x14ac:dyDescent="0.35">
      <c r="B686" s="35" t="s">
        <v>4111</v>
      </c>
      <c r="C686" s="80" t="s">
        <v>4154</v>
      </c>
      <c r="D686" s="36">
        <v>45140</v>
      </c>
      <c r="E686" s="36">
        <v>45211</v>
      </c>
      <c r="F686" s="36">
        <v>45941</v>
      </c>
      <c r="G686" s="64" t="s">
        <v>6</v>
      </c>
      <c r="H686" s="43" t="s">
        <v>4155</v>
      </c>
      <c r="I686" s="35" t="s">
        <v>2542</v>
      </c>
      <c r="J686" s="43" t="s">
        <v>3804</v>
      </c>
      <c r="K686" s="43" t="s">
        <v>3555</v>
      </c>
      <c r="L686" s="30">
        <v>10000</v>
      </c>
      <c r="M686" s="30">
        <v>0</v>
      </c>
      <c r="N686" s="30">
        <f>7800+2200</f>
        <v>10000</v>
      </c>
      <c r="O686" s="30">
        <f t="shared" si="11"/>
        <v>0</v>
      </c>
      <c r="P686" s="43" t="s">
        <v>2874</v>
      </c>
    </row>
    <row r="687" spans="2:16" ht="29" x14ac:dyDescent="0.35">
      <c r="B687" s="35" t="s">
        <v>4111</v>
      </c>
      <c r="C687" s="80" t="s">
        <v>4156</v>
      </c>
      <c r="D687" s="36">
        <v>45140</v>
      </c>
      <c r="E687" s="36">
        <v>45211</v>
      </c>
      <c r="F687" s="36">
        <v>45941</v>
      </c>
      <c r="G687" s="64" t="s">
        <v>6</v>
      </c>
      <c r="H687" s="43" t="s">
        <v>4157</v>
      </c>
      <c r="I687" s="35" t="s">
        <v>2480</v>
      </c>
      <c r="J687" s="43"/>
      <c r="K687" s="43" t="s">
        <v>3555</v>
      </c>
      <c r="L687" s="30">
        <v>18000</v>
      </c>
      <c r="M687" s="30">
        <v>0</v>
      </c>
      <c r="N687" s="30">
        <f>4914.07</f>
        <v>4914.07</v>
      </c>
      <c r="O687" s="30">
        <f t="shared" si="11"/>
        <v>13085.93</v>
      </c>
      <c r="P687" s="43" t="s">
        <v>2874</v>
      </c>
    </row>
    <row r="688" spans="2:16" ht="29" x14ac:dyDescent="0.35">
      <c r="B688" s="35" t="s">
        <v>4111</v>
      </c>
      <c r="C688" s="80" t="s">
        <v>4158</v>
      </c>
      <c r="D688" s="36">
        <v>45140</v>
      </c>
      <c r="E688" s="36">
        <v>45211</v>
      </c>
      <c r="F688" s="36">
        <v>45941</v>
      </c>
      <c r="G688" s="64" t="s">
        <v>6</v>
      </c>
      <c r="H688" s="43" t="s">
        <v>4159</v>
      </c>
      <c r="I688" s="35" t="s">
        <v>2475</v>
      </c>
      <c r="J688" s="43" t="s">
        <v>3804</v>
      </c>
      <c r="K688" s="43" t="s">
        <v>3555</v>
      </c>
      <c r="L688" s="30">
        <v>30000</v>
      </c>
      <c r="M688" s="30">
        <v>0</v>
      </c>
      <c r="N688" s="30">
        <f>5697.58+3406+4780</f>
        <v>13883.58</v>
      </c>
      <c r="O688" s="30">
        <f t="shared" si="11"/>
        <v>16116.42</v>
      </c>
      <c r="P688" s="43" t="s">
        <v>2874</v>
      </c>
    </row>
    <row r="689" spans="2:16" ht="29" x14ac:dyDescent="0.35">
      <c r="B689" s="35" t="s">
        <v>4111</v>
      </c>
      <c r="C689" s="80" t="s">
        <v>4160</v>
      </c>
      <c r="D689" s="36">
        <v>45140</v>
      </c>
      <c r="E689" s="36">
        <v>45211</v>
      </c>
      <c r="F689" s="36">
        <v>45941</v>
      </c>
      <c r="G689" s="64" t="s">
        <v>6</v>
      </c>
      <c r="H689" s="43" t="s">
        <v>4161</v>
      </c>
      <c r="I689" s="35" t="s">
        <v>2508</v>
      </c>
      <c r="J689" s="43"/>
      <c r="K689" s="43" t="s">
        <v>3555</v>
      </c>
      <c r="L689" s="30">
        <v>7200</v>
      </c>
      <c r="M689" s="30">
        <v>0</v>
      </c>
      <c r="N689" s="30">
        <f>7200</f>
        <v>7200</v>
      </c>
      <c r="O689" s="30">
        <f t="shared" si="11"/>
        <v>0</v>
      </c>
      <c r="P689" s="43" t="s">
        <v>2874</v>
      </c>
    </row>
    <row r="690" spans="2:16" ht="29" x14ac:dyDescent="0.35">
      <c r="B690" s="35" t="s">
        <v>4111</v>
      </c>
      <c r="C690" s="80" t="s">
        <v>4162</v>
      </c>
      <c r="D690" s="36">
        <v>45140</v>
      </c>
      <c r="E690" s="36">
        <v>45211</v>
      </c>
      <c r="F690" s="36">
        <v>45941</v>
      </c>
      <c r="G690" s="64" t="s">
        <v>6</v>
      </c>
      <c r="H690" s="43" t="s">
        <v>4163</v>
      </c>
      <c r="I690" s="35" t="s">
        <v>2479</v>
      </c>
      <c r="J690" s="43"/>
      <c r="K690" s="43" t="s">
        <v>3555</v>
      </c>
      <c r="L690" s="30">
        <v>50000</v>
      </c>
      <c r="M690" s="30">
        <v>0</v>
      </c>
      <c r="N690" s="30">
        <f>50000</f>
        <v>50000</v>
      </c>
      <c r="O690" s="30">
        <f t="shared" si="11"/>
        <v>0</v>
      </c>
      <c r="P690" s="43" t="s">
        <v>2874</v>
      </c>
    </row>
    <row r="691" spans="2:16" ht="29" x14ac:dyDescent="0.35">
      <c r="B691" s="35" t="s">
        <v>4111</v>
      </c>
      <c r="C691" s="80" t="s">
        <v>4164</v>
      </c>
      <c r="D691" s="36">
        <v>45140</v>
      </c>
      <c r="E691" s="36">
        <v>45211</v>
      </c>
      <c r="F691" s="36">
        <v>45941</v>
      </c>
      <c r="G691" s="64" t="s">
        <v>6</v>
      </c>
      <c r="H691" s="43" t="s">
        <v>4165</v>
      </c>
      <c r="I691" s="35" t="s">
        <v>2476</v>
      </c>
      <c r="J691" s="43" t="s">
        <v>4636</v>
      </c>
      <c r="K691" s="43" t="s">
        <v>3555</v>
      </c>
      <c r="L691" s="30">
        <v>20000</v>
      </c>
      <c r="M691" s="30">
        <v>0</v>
      </c>
      <c r="N691" s="30">
        <f>660+3835.21+1395</f>
        <v>5890.21</v>
      </c>
      <c r="O691" s="30">
        <f t="shared" si="11"/>
        <v>14109.79</v>
      </c>
      <c r="P691" s="43" t="s">
        <v>2874</v>
      </c>
    </row>
    <row r="692" spans="2:16" ht="29" x14ac:dyDescent="0.35">
      <c r="B692" s="35" t="s">
        <v>4111</v>
      </c>
      <c r="C692" s="80" t="s">
        <v>4166</v>
      </c>
      <c r="D692" s="36">
        <v>45140</v>
      </c>
      <c r="E692" s="36">
        <v>45211</v>
      </c>
      <c r="F692" s="36">
        <v>45941</v>
      </c>
      <c r="G692" s="64" t="s">
        <v>6</v>
      </c>
      <c r="H692" s="43" t="s">
        <v>4167</v>
      </c>
      <c r="I692" s="35" t="s">
        <v>2488</v>
      </c>
      <c r="J692" s="43" t="s">
        <v>4636</v>
      </c>
      <c r="K692" s="43" t="s">
        <v>3555</v>
      </c>
      <c r="L692" s="30">
        <v>25000</v>
      </c>
      <c r="M692" s="30">
        <v>0</v>
      </c>
      <c r="N692" s="30">
        <f>22598.78+2400</f>
        <v>24998.78</v>
      </c>
      <c r="O692" s="30">
        <f t="shared" si="11"/>
        <v>1.2200000000011642</v>
      </c>
      <c r="P692" s="43" t="s">
        <v>2874</v>
      </c>
    </row>
    <row r="693" spans="2:16" ht="29" x14ac:dyDescent="0.35">
      <c r="B693" s="35" t="s">
        <v>4111</v>
      </c>
      <c r="C693" s="80" t="s">
        <v>4168</v>
      </c>
      <c r="D693" s="36">
        <v>45140</v>
      </c>
      <c r="E693" s="36">
        <v>45211</v>
      </c>
      <c r="F693" s="36">
        <v>45941</v>
      </c>
      <c r="G693" s="64" t="s">
        <v>6</v>
      </c>
      <c r="H693" s="43" t="s">
        <v>4169</v>
      </c>
      <c r="I693" s="35" t="s">
        <v>2480</v>
      </c>
      <c r="J693" s="43"/>
      <c r="K693" s="43" t="s">
        <v>3555</v>
      </c>
      <c r="L693" s="30">
        <v>18000</v>
      </c>
      <c r="M693" s="30">
        <v>0</v>
      </c>
      <c r="N693" s="30">
        <f>5068.92+6299.97+6200</f>
        <v>17568.89</v>
      </c>
      <c r="O693" s="30">
        <f t="shared" si="11"/>
        <v>431.11000000000058</v>
      </c>
      <c r="P693" s="43" t="s">
        <v>2874</v>
      </c>
    </row>
    <row r="694" spans="2:16" ht="29" x14ac:dyDescent="0.35">
      <c r="B694" s="35" t="s">
        <v>4111</v>
      </c>
      <c r="C694" s="80" t="s">
        <v>4170</v>
      </c>
      <c r="D694" s="36">
        <v>45140</v>
      </c>
      <c r="E694" s="36">
        <v>45211</v>
      </c>
      <c r="F694" s="36">
        <v>45941</v>
      </c>
      <c r="G694" s="64" t="s">
        <v>6</v>
      </c>
      <c r="H694" s="43" t="s">
        <v>4171</v>
      </c>
      <c r="I694" s="35" t="s">
        <v>2642</v>
      </c>
      <c r="J694" s="43" t="s">
        <v>4231</v>
      </c>
      <c r="K694" s="43" t="s">
        <v>3555</v>
      </c>
      <c r="L694" s="30">
        <v>20000</v>
      </c>
      <c r="M694" s="30">
        <v>0</v>
      </c>
      <c r="N694" s="30">
        <v>0</v>
      </c>
      <c r="O694" s="30">
        <f t="shared" si="11"/>
        <v>20000</v>
      </c>
      <c r="P694" s="43" t="s">
        <v>2874</v>
      </c>
    </row>
    <row r="695" spans="2:16" ht="29" x14ac:dyDescent="0.35">
      <c r="B695" s="35" t="s">
        <v>4111</v>
      </c>
      <c r="C695" s="80" t="s">
        <v>4172</v>
      </c>
      <c r="D695" s="36">
        <v>45140</v>
      </c>
      <c r="E695" s="36">
        <v>45211</v>
      </c>
      <c r="F695" s="36">
        <v>45941</v>
      </c>
      <c r="G695" s="64" t="s">
        <v>6</v>
      </c>
      <c r="H695" s="43" t="s">
        <v>4173</v>
      </c>
      <c r="I695" s="35" t="s">
        <v>2492</v>
      </c>
      <c r="J695" s="43" t="s">
        <v>3804</v>
      </c>
      <c r="K695" s="43" t="s">
        <v>3555</v>
      </c>
      <c r="L695" s="30">
        <v>40000</v>
      </c>
      <c r="M695" s="30">
        <v>0</v>
      </c>
      <c r="N695" s="30">
        <f>4150+12450+8700+4350+8700+1650</f>
        <v>40000</v>
      </c>
      <c r="O695" s="30">
        <f t="shared" si="11"/>
        <v>0</v>
      </c>
      <c r="P695" s="43" t="s">
        <v>2874</v>
      </c>
    </row>
    <row r="696" spans="2:16" ht="29" x14ac:dyDescent="0.35">
      <c r="B696" s="35" t="s">
        <v>4111</v>
      </c>
      <c r="C696" s="80" t="s">
        <v>4174</v>
      </c>
      <c r="D696" s="36">
        <v>45140</v>
      </c>
      <c r="E696" s="36">
        <v>45211</v>
      </c>
      <c r="F696" s="36">
        <v>45941</v>
      </c>
      <c r="G696" s="64" t="s">
        <v>6</v>
      </c>
      <c r="H696" s="43" t="s">
        <v>4175</v>
      </c>
      <c r="I696" s="35" t="s">
        <v>2508</v>
      </c>
      <c r="J696" s="43"/>
      <c r="K696" s="43" t="s">
        <v>3555</v>
      </c>
      <c r="L696" s="30">
        <v>20000</v>
      </c>
      <c r="M696" s="30">
        <v>0</v>
      </c>
      <c r="N696" s="30">
        <f>19500</f>
        <v>19500</v>
      </c>
      <c r="O696" s="30">
        <f t="shared" si="11"/>
        <v>500</v>
      </c>
      <c r="P696" s="43" t="s">
        <v>2874</v>
      </c>
    </row>
    <row r="697" spans="2:16" ht="29" x14ac:dyDescent="0.35">
      <c r="B697" s="35" t="s">
        <v>4111</v>
      </c>
      <c r="C697" s="80" t="s">
        <v>4176</v>
      </c>
      <c r="D697" s="36">
        <v>45140</v>
      </c>
      <c r="E697" s="36">
        <v>45211</v>
      </c>
      <c r="F697" s="36">
        <v>45941</v>
      </c>
      <c r="G697" s="64" t="s">
        <v>6</v>
      </c>
      <c r="H697" s="43" t="s">
        <v>4177</v>
      </c>
      <c r="I697" s="35" t="s">
        <v>2476</v>
      </c>
      <c r="J697" s="43"/>
      <c r="K697" s="43" t="s">
        <v>3555</v>
      </c>
      <c r="L697" s="30">
        <v>50000</v>
      </c>
      <c r="M697" s="30">
        <v>0</v>
      </c>
      <c r="N697" s="30">
        <v>0</v>
      </c>
      <c r="O697" s="30">
        <f t="shared" si="11"/>
        <v>50000</v>
      </c>
      <c r="P697" s="43" t="s">
        <v>2874</v>
      </c>
    </row>
    <row r="698" spans="2:16" ht="29" x14ac:dyDescent="0.35">
      <c r="B698" s="35" t="s">
        <v>4111</v>
      </c>
      <c r="C698" s="80" t="s">
        <v>4178</v>
      </c>
      <c r="D698" s="36">
        <v>45140</v>
      </c>
      <c r="E698" s="36">
        <v>45211</v>
      </c>
      <c r="F698" s="36">
        <v>45941</v>
      </c>
      <c r="G698" s="64" t="s">
        <v>6</v>
      </c>
      <c r="H698" s="43" t="s">
        <v>4179</v>
      </c>
      <c r="I698" s="35" t="s">
        <v>2480</v>
      </c>
      <c r="J698" s="43" t="s">
        <v>3804</v>
      </c>
      <c r="K698" s="43" t="s">
        <v>3555</v>
      </c>
      <c r="L698" s="30">
        <v>24000</v>
      </c>
      <c r="M698" s="30">
        <v>0</v>
      </c>
      <c r="N698" s="30">
        <f>14000+10000</f>
        <v>24000</v>
      </c>
      <c r="O698" s="30">
        <f t="shared" si="11"/>
        <v>0</v>
      </c>
      <c r="P698" s="43" t="s">
        <v>2874</v>
      </c>
    </row>
    <row r="699" spans="2:16" ht="29" x14ac:dyDescent="0.35">
      <c r="B699" s="35" t="s">
        <v>4111</v>
      </c>
      <c r="C699" s="80" t="s">
        <v>4180</v>
      </c>
      <c r="D699" s="36">
        <v>45140</v>
      </c>
      <c r="E699" s="36">
        <v>45211</v>
      </c>
      <c r="F699" s="36">
        <v>45941</v>
      </c>
      <c r="G699" s="64" t="s">
        <v>6</v>
      </c>
      <c r="H699" s="43" t="s">
        <v>4181</v>
      </c>
      <c r="I699" s="35" t="s">
        <v>2816</v>
      </c>
      <c r="J699" s="43"/>
      <c r="K699" s="43" t="s">
        <v>3555</v>
      </c>
      <c r="L699" s="30">
        <v>9500</v>
      </c>
      <c r="M699" s="30">
        <v>0</v>
      </c>
      <c r="N699" s="30">
        <f>9500</f>
        <v>9500</v>
      </c>
      <c r="O699" s="30">
        <f t="shared" si="11"/>
        <v>0</v>
      </c>
      <c r="P699" s="43" t="s">
        <v>2874</v>
      </c>
    </row>
    <row r="700" spans="2:16" ht="29" x14ac:dyDescent="0.35">
      <c r="B700" s="35" t="s">
        <v>4111</v>
      </c>
      <c r="C700" s="80" t="s">
        <v>4182</v>
      </c>
      <c r="D700" s="36">
        <v>45140</v>
      </c>
      <c r="E700" s="36">
        <v>45211</v>
      </c>
      <c r="F700" s="36">
        <v>45941</v>
      </c>
      <c r="G700" s="64" t="s">
        <v>6</v>
      </c>
      <c r="H700" s="43" t="s">
        <v>4183</v>
      </c>
      <c r="I700" s="35" t="s">
        <v>2480</v>
      </c>
      <c r="J700" s="43" t="s">
        <v>4636</v>
      </c>
      <c r="K700" s="43" t="s">
        <v>3555</v>
      </c>
      <c r="L700" s="30">
        <v>20000</v>
      </c>
      <c r="M700" s="30">
        <v>0</v>
      </c>
      <c r="N700" s="30">
        <f>6547.09+11300</f>
        <v>17847.09</v>
      </c>
      <c r="O700" s="30">
        <f t="shared" si="11"/>
        <v>2152.91</v>
      </c>
      <c r="P700" s="43" t="s">
        <v>2874</v>
      </c>
    </row>
    <row r="701" spans="2:16" ht="29" x14ac:dyDescent="0.35">
      <c r="B701" s="35" t="s">
        <v>4111</v>
      </c>
      <c r="C701" s="80" t="s">
        <v>4184</v>
      </c>
      <c r="D701" s="36">
        <v>45140</v>
      </c>
      <c r="E701" s="36">
        <v>45211</v>
      </c>
      <c r="F701" s="36">
        <v>45941</v>
      </c>
      <c r="G701" s="64" t="s">
        <v>6</v>
      </c>
      <c r="H701" s="43" t="s">
        <v>4185</v>
      </c>
      <c r="I701" s="35" t="s">
        <v>3177</v>
      </c>
      <c r="J701" s="43" t="s">
        <v>4232</v>
      </c>
      <c r="K701" s="43" t="s">
        <v>3555</v>
      </c>
      <c r="L701" s="30">
        <v>15000</v>
      </c>
      <c r="M701" s="30">
        <v>0</v>
      </c>
      <c r="N701" s="30">
        <f>13823.81+1176.19</f>
        <v>15000</v>
      </c>
      <c r="O701" s="30">
        <f t="shared" si="11"/>
        <v>0</v>
      </c>
      <c r="P701" s="43" t="s">
        <v>2874</v>
      </c>
    </row>
    <row r="702" spans="2:16" ht="29" x14ac:dyDescent="0.35">
      <c r="B702" s="35" t="s">
        <v>4111</v>
      </c>
      <c r="C702" s="80" t="s">
        <v>4186</v>
      </c>
      <c r="D702" s="36">
        <v>45140</v>
      </c>
      <c r="E702" s="36">
        <v>45211</v>
      </c>
      <c r="F702" s="36">
        <v>45941</v>
      </c>
      <c r="G702" s="64" t="s">
        <v>6</v>
      </c>
      <c r="H702" s="43" t="s">
        <v>4187</v>
      </c>
      <c r="I702" s="35" t="s">
        <v>2517</v>
      </c>
      <c r="J702" s="43" t="s">
        <v>4636</v>
      </c>
      <c r="K702" s="43" t="s">
        <v>3555</v>
      </c>
      <c r="L702" s="30">
        <v>20000</v>
      </c>
      <c r="M702" s="30">
        <v>0</v>
      </c>
      <c r="N702" s="30">
        <f>8139.24+5887.35+269.06+1819.6</f>
        <v>16115.25</v>
      </c>
      <c r="O702" s="30">
        <f t="shared" si="11"/>
        <v>3884.75</v>
      </c>
      <c r="P702" s="43" t="s">
        <v>2874</v>
      </c>
    </row>
    <row r="703" spans="2:16" ht="29" x14ac:dyDescent="0.35">
      <c r="B703" s="35" t="s">
        <v>4111</v>
      </c>
      <c r="C703" s="80" t="s">
        <v>4188</v>
      </c>
      <c r="D703" s="36">
        <v>45140</v>
      </c>
      <c r="E703" s="36">
        <v>45211</v>
      </c>
      <c r="F703" s="36">
        <v>45941</v>
      </c>
      <c r="G703" s="64" t="s">
        <v>6</v>
      </c>
      <c r="H703" s="43" t="s">
        <v>4189</v>
      </c>
      <c r="I703" s="35" t="s">
        <v>2480</v>
      </c>
      <c r="J703" s="43"/>
      <c r="K703" s="43" t="s">
        <v>3555</v>
      </c>
      <c r="L703" s="30">
        <v>30000</v>
      </c>
      <c r="M703" s="30">
        <v>0</v>
      </c>
      <c r="N703" s="30">
        <v>0</v>
      </c>
      <c r="O703" s="30">
        <f t="shared" si="11"/>
        <v>30000</v>
      </c>
      <c r="P703" s="43" t="s">
        <v>2874</v>
      </c>
    </row>
    <row r="704" spans="2:16" ht="29" x14ac:dyDescent="0.35">
      <c r="B704" s="35" t="s">
        <v>4111</v>
      </c>
      <c r="C704" s="80" t="s">
        <v>4190</v>
      </c>
      <c r="D704" s="36">
        <v>45140</v>
      </c>
      <c r="E704" s="36">
        <v>45211</v>
      </c>
      <c r="F704" s="36">
        <v>45576</v>
      </c>
      <c r="G704" s="64" t="s">
        <v>6</v>
      </c>
      <c r="H704" s="43" t="s">
        <v>4191</v>
      </c>
      <c r="I704" s="35" t="s">
        <v>2491</v>
      </c>
      <c r="J704" s="43" t="s">
        <v>4636</v>
      </c>
      <c r="K704" s="43" t="s">
        <v>3555</v>
      </c>
      <c r="L704" s="30">
        <v>15000</v>
      </c>
      <c r="M704" s="30">
        <v>0</v>
      </c>
      <c r="N704" s="30">
        <v>0</v>
      </c>
      <c r="O704" s="30">
        <f t="shared" si="11"/>
        <v>15000</v>
      </c>
      <c r="P704" s="43" t="s">
        <v>2874</v>
      </c>
    </row>
    <row r="705" spans="2:16" ht="29" x14ac:dyDescent="0.35">
      <c r="B705" s="35" t="s">
        <v>4111</v>
      </c>
      <c r="C705" s="80" t="s">
        <v>4192</v>
      </c>
      <c r="D705" s="36">
        <v>45140</v>
      </c>
      <c r="E705" s="36">
        <v>45211</v>
      </c>
      <c r="F705" s="36">
        <v>45941</v>
      </c>
      <c r="G705" s="64" t="s">
        <v>6</v>
      </c>
      <c r="H705" s="43" t="s">
        <v>4193</v>
      </c>
      <c r="I705" s="35" t="s">
        <v>2484</v>
      </c>
      <c r="J705" s="43" t="s">
        <v>4636</v>
      </c>
      <c r="K705" s="43" t="s">
        <v>3555</v>
      </c>
      <c r="L705" s="30">
        <v>30000</v>
      </c>
      <c r="M705" s="30">
        <v>0</v>
      </c>
      <c r="N705" s="30">
        <f>5793.12*2+18413.76</f>
        <v>30000</v>
      </c>
      <c r="O705" s="30">
        <f t="shared" si="11"/>
        <v>0</v>
      </c>
      <c r="P705" s="43" t="s">
        <v>2874</v>
      </c>
    </row>
    <row r="706" spans="2:16" ht="29" x14ac:dyDescent="0.35">
      <c r="B706" s="35" t="s">
        <v>4111</v>
      </c>
      <c r="C706" s="80" t="s">
        <v>4194</v>
      </c>
      <c r="D706" s="36">
        <v>45140</v>
      </c>
      <c r="E706" s="36">
        <v>45211</v>
      </c>
      <c r="F706" s="36">
        <v>45941</v>
      </c>
      <c r="G706" s="64" t="s">
        <v>6</v>
      </c>
      <c r="H706" s="43" t="s">
        <v>4195</v>
      </c>
      <c r="I706" s="35" t="s">
        <v>2480</v>
      </c>
      <c r="J706" s="43" t="s">
        <v>4636</v>
      </c>
      <c r="K706" s="43" t="s">
        <v>3555</v>
      </c>
      <c r="L706" s="30">
        <v>30000</v>
      </c>
      <c r="M706" s="30">
        <v>0</v>
      </c>
      <c r="N706" s="30">
        <f>7500+4942.42+1900+7500+1900+2200+1900</f>
        <v>27842.42</v>
      </c>
      <c r="O706" s="30">
        <f t="shared" si="11"/>
        <v>2157.5800000000017</v>
      </c>
      <c r="P706" s="43" t="s">
        <v>2874</v>
      </c>
    </row>
    <row r="707" spans="2:16" ht="29" x14ac:dyDescent="0.35">
      <c r="B707" s="35" t="s">
        <v>4111</v>
      </c>
      <c r="C707" s="80" t="s">
        <v>4196</v>
      </c>
      <c r="D707" s="36">
        <v>45140</v>
      </c>
      <c r="E707" s="36">
        <v>45211</v>
      </c>
      <c r="F707" s="36">
        <v>45576</v>
      </c>
      <c r="G707" s="64" t="s">
        <v>6</v>
      </c>
      <c r="H707" s="43" t="s">
        <v>4197</v>
      </c>
      <c r="I707" s="35" t="s">
        <v>2473</v>
      </c>
      <c r="J707" s="43" t="s">
        <v>3804</v>
      </c>
      <c r="K707" s="43" t="s">
        <v>3555</v>
      </c>
      <c r="L707" s="30">
        <v>15000</v>
      </c>
      <c r="M707" s="30">
        <v>0</v>
      </c>
      <c r="N707" s="30">
        <f>15000</f>
        <v>15000</v>
      </c>
      <c r="O707" s="30">
        <f t="shared" si="11"/>
        <v>0</v>
      </c>
      <c r="P707" s="43" t="s">
        <v>2874</v>
      </c>
    </row>
    <row r="708" spans="2:16" ht="29" x14ac:dyDescent="0.35">
      <c r="B708" s="35" t="s">
        <v>4111</v>
      </c>
      <c r="C708" s="80" t="s">
        <v>4198</v>
      </c>
      <c r="D708" s="36">
        <v>45140</v>
      </c>
      <c r="E708" s="36">
        <v>45211</v>
      </c>
      <c r="F708" s="36">
        <v>45941</v>
      </c>
      <c r="G708" s="64" t="s">
        <v>6</v>
      </c>
      <c r="H708" s="43" t="s">
        <v>4199</v>
      </c>
      <c r="I708" s="35" t="s">
        <v>2480</v>
      </c>
      <c r="J708" s="43" t="s">
        <v>4636</v>
      </c>
      <c r="K708" s="43" t="s">
        <v>3555</v>
      </c>
      <c r="L708" s="30">
        <v>25000</v>
      </c>
      <c r="M708" s="30">
        <v>0</v>
      </c>
      <c r="N708" s="30">
        <f>8791.1+1757+4921+2899.8</f>
        <v>18368.900000000001</v>
      </c>
      <c r="O708" s="30">
        <f t="shared" ref="O708:O770" si="12">L708-M708-N708</f>
        <v>6631.0999999999985</v>
      </c>
      <c r="P708" s="43" t="s">
        <v>2874</v>
      </c>
    </row>
    <row r="709" spans="2:16" ht="58" x14ac:dyDescent="0.35">
      <c r="B709" s="35" t="s">
        <v>3405</v>
      </c>
      <c r="C709" s="80" t="s">
        <v>4101</v>
      </c>
      <c r="D709" s="36">
        <v>44415</v>
      </c>
      <c r="E709" s="36">
        <v>45215</v>
      </c>
      <c r="F709" s="36">
        <v>45322</v>
      </c>
      <c r="G709" s="64" t="s">
        <v>6</v>
      </c>
      <c r="H709" s="43" t="s">
        <v>3401</v>
      </c>
      <c r="I709" s="35" t="s">
        <v>2480</v>
      </c>
      <c r="J709" s="43" t="s">
        <v>4595</v>
      </c>
      <c r="K709" s="43" t="s">
        <v>3184</v>
      </c>
      <c r="L709" s="30">
        <v>219000</v>
      </c>
      <c r="M709" s="30">
        <v>0</v>
      </c>
      <c r="N709" s="30">
        <f>192000+19000</f>
        <v>211000</v>
      </c>
      <c r="O709" s="30">
        <f t="shared" si="12"/>
        <v>8000</v>
      </c>
      <c r="P709" s="44" t="s">
        <v>2874</v>
      </c>
    </row>
    <row r="710" spans="2:16" ht="43.5" x14ac:dyDescent="0.35">
      <c r="B710" s="35" t="s">
        <v>4201</v>
      </c>
      <c r="C710" s="80" t="s">
        <v>4200</v>
      </c>
      <c r="D710" s="36">
        <v>45061</v>
      </c>
      <c r="E710" s="36">
        <v>45218</v>
      </c>
      <c r="F710" s="36">
        <v>47044</v>
      </c>
      <c r="G710" s="64" t="s">
        <v>6</v>
      </c>
      <c r="H710" s="43" t="s">
        <v>4204</v>
      </c>
      <c r="I710" s="35" t="s">
        <v>2492</v>
      </c>
      <c r="J710" s="38" t="s">
        <v>4233</v>
      </c>
      <c r="K710" s="38" t="s">
        <v>2583</v>
      </c>
      <c r="L710" s="30">
        <v>68250</v>
      </c>
      <c r="M710" s="30">
        <v>0</v>
      </c>
      <c r="N710" s="30">
        <v>0</v>
      </c>
      <c r="O710" s="30">
        <f t="shared" si="12"/>
        <v>68250</v>
      </c>
      <c r="P710" s="44">
        <v>5.26</v>
      </c>
    </row>
    <row r="711" spans="2:16" ht="43.5" x14ac:dyDescent="0.35">
      <c r="B711" s="35" t="s">
        <v>4203</v>
      </c>
      <c r="C711" s="80" t="s">
        <v>4202</v>
      </c>
      <c r="D711" s="36">
        <v>45061</v>
      </c>
      <c r="E711" s="36">
        <v>45218</v>
      </c>
      <c r="F711" s="36">
        <v>47044</v>
      </c>
      <c r="G711" s="64" t="s">
        <v>6</v>
      </c>
      <c r="H711" s="43" t="s">
        <v>4204</v>
      </c>
      <c r="I711" s="35" t="s">
        <v>2492</v>
      </c>
      <c r="J711" s="38" t="s">
        <v>4233</v>
      </c>
      <c r="K711" s="38" t="s">
        <v>2586</v>
      </c>
      <c r="L711" s="30">
        <v>1431750</v>
      </c>
      <c r="M711" s="30">
        <v>0</v>
      </c>
      <c r="N711" s="30">
        <v>0</v>
      </c>
      <c r="O711" s="30">
        <f t="shared" si="12"/>
        <v>1431750</v>
      </c>
      <c r="P711" s="44">
        <v>5.26</v>
      </c>
    </row>
    <row r="712" spans="2:16" x14ac:dyDescent="0.35">
      <c r="B712" s="35" t="s">
        <v>4089</v>
      </c>
      <c r="C712" s="80" t="s">
        <v>4136</v>
      </c>
      <c r="D712" s="36">
        <v>45140</v>
      </c>
      <c r="E712" s="36">
        <v>45219</v>
      </c>
      <c r="F712" s="36">
        <v>45473</v>
      </c>
      <c r="G712" s="64" t="s">
        <v>6</v>
      </c>
      <c r="H712" s="43" t="s">
        <v>4137</v>
      </c>
      <c r="I712" s="35" t="s">
        <v>2480</v>
      </c>
      <c r="J712" s="43" t="s">
        <v>4665</v>
      </c>
      <c r="K712" s="43" t="s">
        <v>2573</v>
      </c>
      <c r="L712" s="30">
        <v>2880</v>
      </c>
      <c r="M712" s="30">
        <v>0</v>
      </c>
      <c r="N712" s="30">
        <v>2880</v>
      </c>
      <c r="O712" s="30">
        <f t="shared" si="12"/>
        <v>0</v>
      </c>
      <c r="P712" s="43" t="s">
        <v>2874</v>
      </c>
    </row>
    <row r="713" spans="2:16" ht="29" x14ac:dyDescent="0.35">
      <c r="B713" s="35" t="s">
        <v>4111</v>
      </c>
      <c r="C713" s="80" t="s">
        <v>5432</v>
      </c>
      <c r="D713" s="36">
        <v>45140</v>
      </c>
      <c r="E713" s="36">
        <v>45219</v>
      </c>
      <c r="F713" s="36">
        <v>45949</v>
      </c>
      <c r="G713" s="64" t="s">
        <v>6</v>
      </c>
      <c r="H713" s="35" t="s">
        <v>5433</v>
      </c>
      <c r="I713" s="35" t="s">
        <v>2518</v>
      </c>
      <c r="J713" s="43" t="s">
        <v>4704</v>
      </c>
      <c r="K713" s="43" t="s">
        <v>3555</v>
      </c>
      <c r="L713" s="30">
        <v>10000</v>
      </c>
      <c r="M713" s="30">
        <v>0</v>
      </c>
      <c r="N713" s="30">
        <v>0</v>
      </c>
      <c r="O713" s="30">
        <f t="shared" si="12"/>
        <v>10000</v>
      </c>
      <c r="P713" s="44" t="s">
        <v>2874</v>
      </c>
    </row>
    <row r="714" spans="2:16" x14ac:dyDescent="0.35">
      <c r="B714" s="39" t="s">
        <v>3670</v>
      </c>
      <c r="C714" s="80" t="s">
        <v>4104</v>
      </c>
      <c r="D714" s="40">
        <v>45061</v>
      </c>
      <c r="E714" s="36">
        <v>45222</v>
      </c>
      <c r="F714" s="36">
        <v>46198</v>
      </c>
      <c r="G714" s="64" t="s">
        <v>6</v>
      </c>
      <c r="H714" s="38" t="s">
        <v>3674</v>
      </c>
      <c r="I714" s="35" t="s">
        <v>2503</v>
      </c>
      <c r="J714" s="38" t="s">
        <v>4627</v>
      </c>
      <c r="K714" s="38" t="s">
        <v>2586</v>
      </c>
      <c r="L714" s="45">
        <v>101920</v>
      </c>
      <c r="M714" s="30">
        <v>0</v>
      </c>
      <c r="N714" s="30">
        <v>0</v>
      </c>
      <c r="O714" s="30">
        <f t="shared" si="12"/>
        <v>101920</v>
      </c>
      <c r="P714" s="44">
        <v>4.29</v>
      </c>
    </row>
    <row r="715" spans="2:16" ht="29" x14ac:dyDescent="0.35">
      <c r="B715" s="35" t="s">
        <v>4111</v>
      </c>
      <c r="C715" s="80" t="s">
        <v>4242</v>
      </c>
      <c r="D715" s="36">
        <v>45140</v>
      </c>
      <c r="E715" s="36">
        <v>45225</v>
      </c>
      <c r="F715" s="36">
        <v>45955</v>
      </c>
      <c r="G715" s="64" t="s">
        <v>6</v>
      </c>
      <c r="H715" s="43" t="s">
        <v>4422</v>
      </c>
      <c r="I715" s="35" t="s">
        <v>2493</v>
      </c>
      <c r="J715" s="43"/>
      <c r="K715" s="43" t="s">
        <v>3555</v>
      </c>
      <c r="L715" s="30">
        <v>50000</v>
      </c>
      <c r="M715" s="30">
        <v>0</v>
      </c>
      <c r="N715" s="30">
        <f>31600</f>
        <v>31600</v>
      </c>
      <c r="O715" s="30">
        <f t="shared" si="12"/>
        <v>18400</v>
      </c>
      <c r="P715" s="43" t="s">
        <v>2874</v>
      </c>
    </row>
    <row r="716" spans="2:16" x14ac:dyDescent="0.35">
      <c r="B716" s="35" t="s">
        <v>4213</v>
      </c>
      <c r="C716" s="105" t="s">
        <v>4205</v>
      </c>
      <c r="D716" s="36">
        <v>45061</v>
      </c>
      <c r="E716" s="36">
        <v>45226</v>
      </c>
      <c r="F716" s="36">
        <v>46321</v>
      </c>
      <c r="G716" s="64" t="s">
        <v>5683</v>
      </c>
      <c r="H716" s="43" t="s">
        <v>2339</v>
      </c>
      <c r="I716" s="35" t="s">
        <v>2484</v>
      </c>
      <c r="J716" s="38" t="s">
        <v>4234</v>
      </c>
      <c r="K716" s="38" t="s">
        <v>2583</v>
      </c>
      <c r="L716" s="30">
        <v>50000</v>
      </c>
      <c r="M716" s="30">
        <v>50000</v>
      </c>
      <c r="N716" s="30">
        <v>0</v>
      </c>
      <c r="O716" s="30">
        <f t="shared" si="12"/>
        <v>0</v>
      </c>
      <c r="P716" s="44">
        <v>5.03</v>
      </c>
    </row>
    <row r="717" spans="2:16" x14ac:dyDescent="0.35">
      <c r="B717" s="35" t="s">
        <v>4214</v>
      </c>
      <c r="C717" s="105" t="s">
        <v>4206</v>
      </c>
      <c r="D717" s="36">
        <v>45061</v>
      </c>
      <c r="E717" s="36">
        <v>45226</v>
      </c>
      <c r="F717" s="36">
        <v>46321</v>
      </c>
      <c r="G717" s="64" t="s">
        <v>6</v>
      </c>
      <c r="H717" s="43" t="s">
        <v>2339</v>
      </c>
      <c r="I717" s="35" t="s">
        <v>2484</v>
      </c>
      <c r="J717" s="38" t="s">
        <v>4234</v>
      </c>
      <c r="K717" s="38" t="s">
        <v>2586</v>
      </c>
      <c r="L717" s="30">
        <v>200000</v>
      </c>
      <c r="M717" s="30">
        <v>0</v>
      </c>
      <c r="N717" s="30">
        <v>0</v>
      </c>
      <c r="O717" s="30">
        <f t="shared" si="12"/>
        <v>200000</v>
      </c>
      <c r="P717" s="44">
        <v>5.03</v>
      </c>
    </row>
    <row r="718" spans="2:16" x14ac:dyDescent="0.35">
      <c r="B718" s="35" t="s">
        <v>4215</v>
      </c>
      <c r="C718" s="105" t="s">
        <v>4207</v>
      </c>
      <c r="D718" s="36">
        <v>45061</v>
      </c>
      <c r="E718" s="36">
        <v>45226</v>
      </c>
      <c r="F718" s="36">
        <v>46321</v>
      </c>
      <c r="G718" s="64" t="s">
        <v>6</v>
      </c>
      <c r="H718" s="43" t="s">
        <v>2339</v>
      </c>
      <c r="I718" s="35" t="s">
        <v>2484</v>
      </c>
      <c r="J718" s="43" t="s">
        <v>4234</v>
      </c>
      <c r="K718" s="43" t="s">
        <v>3665</v>
      </c>
      <c r="L718" s="30">
        <v>350000</v>
      </c>
      <c r="M718" s="30">
        <v>0</v>
      </c>
      <c r="N718" s="30">
        <v>0</v>
      </c>
      <c r="O718" s="30">
        <f t="shared" si="12"/>
        <v>350000</v>
      </c>
      <c r="P718" s="44">
        <v>5.03</v>
      </c>
    </row>
    <row r="719" spans="2:16" x14ac:dyDescent="0.35">
      <c r="B719" s="35" t="s">
        <v>4216</v>
      </c>
      <c r="C719" s="105" t="s">
        <v>4208</v>
      </c>
      <c r="D719" s="36">
        <v>44972</v>
      </c>
      <c r="E719" s="36">
        <v>45226</v>
      </c>
      <c r="F719" s="36">
        <v>46321</v>
      </c>
      <c r="G719" s="64" t="s">
        <v>6</v>
      </c>
      <c r="H719" s="43" t="s">
        <v>2339</v>
      </c>
      <c r="I719" s="35" t="s">
        <v>2484</v>
      </c>
      <c r="J719" s="38" t="s">
        <v>4234</v>
      </c>
      <c r="K719" s="38" t="s">
        <v>2586</v>
      </c>
      <c r="L719" s="30">
        <v>200000</v>
      </c>
      <c r="M719" s="30">
        <v>0</v>
      </c>
      <c r="N719" s="30">
        <v>0</v>
      </c>
      <c r="O719" s="30">
        <f t="shared" si="12"/>
        <v>200000</v>
      </c>
      <c r="P719" s="44">
        <v>40.35</v>
      </c>
    </row>
    <row r="720" spans="2:16" x14ac:dyDescent="0.35">
      <c r="B720" s="35" t="s">
        <v>4217</v>
      </c>
      <c r="C720" s="105" t="s">
        <v>4209</v>
      </c>
      <c r="D720" s="36">
        <v>44972</v>
      </c>
      <c r="E720" s="36">
        <v>45226</v>
      </c>
      <c r="F720" s="36">
        <v>46321</v>
      </c>
      <c r="G720" s="64" t="s">
        <v>6</v>
      </c>
      <c r="H720" s="43" t="s">
        <v>2339</v>
      </c>
      <c r="I720" s="35" t="s">
        <v>2484</v>
      </c>
      <c r="J720" s="43" t="s">
        <v>4234</v>
      </c>
      <c r="K720" s="43" t="s">
        <v>3665</v>
      </c>
      <c r="L720" s="30">
        <v>450000</v>
      </c>
      <c r="M720" s="30">
        <v>0</v>
      </c>
      <c r="N720" s="30">
        <v>0</v>
      </c>
      <c r="O720" s="30">
        <f t="shared" si="12"/>
        <v>450000</v>
      </c>
      <c r="P720" s="44">
        <v>40.35</v>
      </c>
    </row>
    <row r="721" spans="2:16" x14ac:dyDescent="0.35">
      <c r="B721" s="35" t="s">
        <v>4218</v>
      </c>
      <c r="C721" s="105" t="s">
        <v>4210</v>
      </c>
      <c r="D721" s="36">
        <v>45061</v>
      </c>
      <c r="E721" s="36">
        <v>45226</v>
      </c>
      <c r="F721" s="36">
        <v>46321</v>
      </c>
      <c r="G721" s="64" t="s">
        <v>5683</v>
      </c>
      <c r="H721" s="43" t="s">
        <v>2339</v>
      </c>
      <c r="I721" s="35" t="s">
        <v>2484</v>
      </c>
      <c r="J721" s="38" t="s">
        <v>4234</v>
      </c>
      <c r="K721" s="38" t="s">
        <v>2583</v>
      </c>
      <c r="L721" s="30">
        <v>26000</v>
      </c>
      <c r="M721" s="30">
        <v>26000</v>
      </c>
      <c r="N721" s="30">
        <v>0</v>
      </c>
      <c r="O721" s="30">
        <f t="shared" si="12"/>
        <v>0</v>
      </c>
      <c r="P721" s="44">
        <v>1.57</v>
      </c>
    </row>
    <row r="722" spans="2:16" x14ac:dyDescent="0.35">
      <c r="B722" s="35" t="s">
        <v>4219</v>
      </c>
      <c r="C722" s="105" t="s">
        <v>4211</v>
      </c>
      <c r="D722" s="36">
        <v>45061</v>
      </c>
      <c r="E722" s="36">
        <v>45226</v>
      </c>
      <c r="F722" s="36">
        <v>46321</v>
      </c>
      <c r="G722" s="64" t="s">
        <v>6</v>
      </c>
      <c r="H722" s="43" t="s">
        <v>2339</v>
      </c>
      <c r="I722" s="35" t="s">
        <v>2484</v>
      </c>
      <c r="J722" s="38" t="s">
        <v>4234</v>
      </c>
      <c r="K722" s="38" t="s">
        <v>2586</v>
      </c>
      <c r="L722" s="30">
        <v>72000</v>
      </c>
      <c r="M722" s="30">
        <v>0</v>
      </c>
      <c r="N722" s="30">
        <v>0</v>
      </c>
      <c r="O722" s="30">
        <f t="shared" si="12"/>
        <v>72000</v>
      </c>
      <c r="P722" s="44">
        <v>1.57</v>
      </c>
    </row>
    <row r="723" spans="2:16" x14ac:dyDescent="0.35">
      <c r="B723" s="35" t="s">
        <v>4220</v>
      </c>
      <c r="C723" s="105" t="s">
        <v>4212</v>
      </c>
      <c r="D723" s="36">
        <v>45061</v>
      </c>
      <c r="E723" s="36">
        <v>45226</v>
      </c>
      <c r="F723" s="36">
        <v>46321</v>
      </c>
      <c r="G723" s="64" t="s">
        <v>6</v>
      </c>
      <c r="H723" s="43" t="s">
        <v>2339</v>
      </c>
      <c r="I723" s="35" t="s">
        <v>2484</v>
      </c>
      <c r="J723" s="43" t="s">
        <v>4234</v>
      </c>
      <c r="K723" s="43" t="s">
        <v>3665</v>
      </c>
      <c r="L723" s="30">
        <v>1000000</v>
      </c>
      <c r="M723" s="30">
        <v>0</v>
      </c>
      <c r="N723" s="30">
        <v>0</v>
      </c>
      <c r="O723" s="30">
        <f t="shared" si="12"/>
        <v>1000000</v>
      </c>
      <c r="P723" s="44">
        <v>1.57</v>
      </c>
    </row>
    <row r="724" spans="2:16" x14ac:dyDescent="0.35">
      <c r="B724" s="35" t="s">
        <v>4223</v>
      </c>
      <c r="C724" s="80" t="s">
        <v>4221</v>
      </c>
      <c r="D724" s="36">
        <v>45177</v>
      </c>
      <c r="E724" s="36">
        <v>45226</v>
      </c>
      <c r="F724" s="36">
        <v>47052</v>
      </c>
      <c r="G724" s="64" t="s">
        <v>6</v>
      </c>
      <c r="H724" s="43" t="s">
        <v>4225</v>
      </c>
      <c r="I724" s="35" t="s">
        <v>2490</v>
      </c>
      <c r="J724" s="38" t="s">
        <v>4235</v>
      </c>
      <c r="K724" s="38" t="s">
        <v>2583</v>
      </c>
      <c r="L724" s="30">
        <v>72000</v>
      </c>
      <c r="M724" s="30">
        <v>0</v>
      </c>
      <c r="N724" s="30">
        <v>0</v>
      </c>
      <c r="O724" s="30">
        <f t="shared" si="12"/>
        <v>72000</v>
      </c>
      <c r="P724" s="44">
        <v>1.23</v>
      </c>
    </row>
    <row r="725" spans="2:16" x14ac:dyDescent="0.35">
      <c r="B725" s="35" t="s">
        <v>4224</v>
      </c>
      <c r="C725" s="80" t="s">
        <v>4222</v>
      </c>
      <c r="D725" s="36">
        <v>45177</v>
      </c>
      <c r="E725" s="36">
        <v>45226</v>
      </c>
      <c r="F725" s="36">
        <v>47052</v>
      </c>
      <c r="G725" s="64" t="s">
        <v>6</v>
      </c>
      <c r="H725" s="43" t="s">
        <v>4225</v>
      </c>
      <c r="I725" s="35" t="s">
        <v>2490</v>
      </c>
      <c r="J725" s="38" t="s">
        <v>4235</v>
      </c>
      <c r="K725" s="38" t="s">
        <v>2586</v>
      </c>
      <c r="L725" s="30">
        <v>1442706</v>
      </c>
      <c r="M725" s="30">
        <v>0</v>
      </c>
      <c r="N725" s="30">
        <f>300000+300000</f>
        <v>600000</v>
      </c>
      <c r="O725" s="30">
        <f>L725-M725-N725</f>
        <v>842706</v>
      </c>
      <c r="P725" s="44">
        <v>1.23</v>
      </c>
    </row>
    <row r="726" spans="2:16" x14ac:dyDescent="0.35">
      <c r="B726" s="35" t="s">
        <v>4089</v>
      </c>
      <c r="C726" s="80" t="s">
        <v>4226</v>
      </c>
      <c r="D726" s="36">
        <v>45140</v>
      </c>
      <c r="E726" s="36">
        <v>45226</v>
      </c>
      <c r="F726" s="36">
        <v>45591</v>
      </c>
      <c r="G726" s="64" t="s">
        <v>6</v>
      </c>
      <c r="H726" s="43" t="s">
        <v>55</v>
      </c>
      <c r="I726" s="35" t="s">
        <v>2491</v>
      </c>
      <c r="J726" s="43" t="s">
        <v>4666</v>
      </c>
      <c r="K726" s="43" t="s">
        <v>2573</v>
      </c>
      <c r="L726" s="30">
        <v>2000</v>
      </c>
      <c r="M726" s="30">
        <v>0</v>
      </c>
      <c r="N726" s="30">
        <v>2000</v>
      </c>
      <c r="O726" s="30">
        <f t="shared" si="12"/>
        <v>0</v>
      </c>
      <c r="P726" s="43" t="s">
        <v>2874</v>
      </c>
    </row>
    <row r="727" spans="2:16" ht="29" x14ac:dyDescent="0.35">
      <c r="B727" s="35" t="s">
        <v>4111</v>
      </c>
      <c r="C727" s="80" t="s">
        <v>4243</v>
      </c>
      <c r="D727" s="36">
        <v>45140</v>
      </c>
      <c r="E727" s="36">
        <v>45226</v>
      </c>
      <c r="F727" s="36">
        <v>45956</v>
      </c>
      <c r="G727" s="64" t="s">
        <v>6</v>
      </c>
      <c r="H727" s="43" t="s">
        <v>4244</v>
      </c>
      <c r="I727" s="35" t="s">
        <v>2485</v>
      </c>
      <c r="J727" s="43" t="s">
        <v>5784</v>
      </c>
      <c r="K727" s="43" t="s">
        <v>3555</v>
      </c>
      <c r="L727" s="30">
        <v>24000</v>
      </c>
      <c r="M727" s="30">
        <v>0</v>
      </c>
      <c r="N727" s="30">
        <f>4000+5000+5985+1000+2000</f>
        <v>17985</v>
      </c>
      <c r="O727" s="30">
        <f t="shared" si="12"/>
        <v>6015</v>
      </c>
      <c r="P727" s="43" t="s">
        <v>2874</v>
      </c>
    </row>
    <row r="728" spans="2:16" ht="29" x14ac:dyDescent="0.35">
      <c r="B728" s="35" t="s">
        <v>4111</v>
      </c>
      <c r="C728" s="80" t="s">
        <v>4245</v>
      </c>
      <c r="D728" s="36">
        <v>45140</v>
      </c>
      <c r="E728" s="36">
        <v>45226</v>
      </c>
      <c r="F728" s="36">
        <v>45956</v>
      </c>
      <c r="G728" s="64" t="s">
        <v>6</v>
      </c>
      <c r="H728" s="43" t="s">
        <v>4246</v>
      </c>
      <c r="I728" s="35" t="s">
        <v>2480</v>
      </c>
      <c r="J728" s="43" t="s">
        <v>3806</v>
      </c>
      <c r="K728" s="43" t="s">
        <v>3555</v>
      </c>
      <c r="L728" s="30">
        <v>50000</v>
      </c>
      <c r="M728" s="30">
        <v>0</v>
      </c>
      <c r="N728" s="30">
        <f>45651.28+4348.72</f>
        <v>50000</v>
      </c>
      <c r="O728" s="30">
        <f t="shared" si="12"/>
        <v>0</v>
      </c>
      <c r="P728" s="43" t="s">
        <v>2874</v>
      </c>
    </row>
    <row r="729" spans="2:16" ht="29" x14ac:dyDescent="0.35">
      <c r="B729" s="35" t="s">
        <v>4111</v>
      </c>
      <c r="C729" s="80" t="s">
        <v>4247</v>
      </c>
      <c r="D729" s="36">
        <v>45140</v>
      </c>
      <c r="E729" s="36">
        <v>45226</v>
      </c>
      <c r="F729" s="36">
        <v>45956</v>
      </c>
      <c r="G729" s="64" t="s">
        <v>6</v>
      </c>
      <c r="H729" s="43" t="s">
        <v>4248</v>
      </c>
      <c r="I729" s="35" t="s">
        <v>2504</v>
      </c>
      <c r="J729" s="43" t="s">
        <v>3804</v>
      </c>
      <c r="K729" s="43" t="s">
        <v>3555</v>
      </c>
      <c r="L729" s="30">
        <v>50000</v>
      </c>
      <c r="M729" s="30">
        <v>0</v>
      </c>
      <c r="N729" s="30">
        <f>5825+3695</f>
        <v>9520</v>
      </c>
      <c r="O729" s="30">
        <f t="shared" si="12"/>
        <v>40480</v>
      </c>
      <c r="P729" s="43" t="s">
        <v>2874</v>
      </c>
    </row>
    <row r="730" spans="2:16" ht="29" x14ac:dyDescent="0.35">
      <c r="B730" s="35" t="s">
        <v>4111</v>
      </c>
      <c r="C730" s="80" t="s">
        <v>4249</v>
      </c>
      <c r="D730" s="36">
        <v>45140</v>
      </c>
      <c r="E730" s="36">
        <v>45226</v>
      </c>
      <c r="F730" s="36">
        <v>45956</v>
      </c>
      <c r="G730" s="64" t="s">
        <v>6</v>
      </c>
      <c r="H730" s="43" t="s">
        <v>4250</v>
      </c>
      <c r="I730" s="35" t="s">
        <v>2490</v>
      </c>
      <c r="J730" s="43"/>
      <c r="K730" s="43" t="s">
        <v>3555</v>
      </c>
      <c r="L730" s="30">
        <v>30000</v>
      </c>
      <c r="M730" s="30">
        <v>0</v>
      </c>
      <c r="N730" s="30">
        <f>5430+2000</f>
        <v>7430</v>
      </c>
      <c r="O730" s="30">
        <f t="shared" si="12"/>
        <v>22570</v>
      </c>
      <c r="P730" s="43" t="s">
        <v>2874</v>
      </c>
    </row>
    <row r="731" spans="2:16" ht="29" x14ac:dyDescent="0.35">
      <c r="B731" s="35" t="s">
        <v>4111</v>
      </c>
      <c r="C731" s="80" t="s">
        <v>4251</v>
      </c>
      <c r="D731" s="36">
        <v>45140</v>
      </c>
      <c r="E731" s="36">
        <v>45226</v>
      </c>
      <c r="F731" s="36">
        <v>45956</v>
      </c>
      <c r="G731" s="64" t="s">
        <v>6</v>
      </c>
      <c r="H731" s="43" t="s">
        <v>4252</v>
      </c>
      <c r="I731" s="35" t="s">
        <v>2491</v>
      </c>
      <c r="J731" s="43"/>
      <c r="K731" s="43" t="s">
        <v>3555</v>
      </c>
      <c r="L731" s="30">
        <v>50000</v>
      </c>
      <c r="M731" s="30">
        <v>0</v>
      </c>
      <c r="N731" s="30">
        <v>0</v>
      </c>
      <c r="O731" s="30">
        <f t="shared" si="12"/>
        <v>50000</v>
      </c>
      <c r="P731" s="43" t="s">
        <v>2874</v>
      </c>
    </row>
    <row r="732" spans="2:16" ht="29" x14ac:dyDescent="0.35">
      <c r="B732" s="35" t="s">
        <v>4111</v>
      </c>
      <c r="C732" s="80" t="s">
        <v>4253</v>
      </c>
      <c r="D732" s="36">
        <v>45140</v>
      </c>
      <c r="E732" s="36">
        <v>45226</v>
      </c>
      <c r="F732" s="36">
        <v>45956</v>
      </c>
      <c r="G732" s="64" t="s">
        <v>6</v>
      </c>
      <c r="H732" s="43" t="s">
        <v>4254</v>
      </c>
      <c r="I732" s="35" t="s">
        <v>2653</v>
      </c>
      <c r="J732" s="43" t="s">
        <v>5806</v>
      </c>
      <c r="K732" s="43" t="s">
        <v>3555</v>
      </c>
      <c r="L732" s="30">
        <v>50000</v>
      </c>
      <c r="M732" s="30">
        <v>0</v>
      </c>
      <c r="N732" s="30">
        <f>36000+12947.63</f>
        <v>48947.63</v>
      </c>
      <c r="O732" s="30">
        <f t="shared" si="12"/>
        <v>1052.3700000000026</v>
      </c>
      <c r="P732" s="43" t="s">
        <v>2874</v>
      </c>
    </row>
    <row r="733" spans="2:16" ht="29" x14ac:dyDescent="0.35">
      <c r="B733" s="35" t="s">
        <v>4111</v>
      </c>
      <c r="C733" s="80" t="s">
        <v>4301</v>
      </c>
      <c r="D733" s="36">
        <v>45140</v>
      </c>
      <c r="E733" s="36">
        <v>45226</v>
      </c>
      <c r="F733" s="36">
        <v>45956</v>
      </c>
      <c r="G733" s="64" t="s">
        <v>6</v>
      </c>
      <c r="H733" s="43" t="s">
        <v>4302</v>
      </c>
      <c r="I733" s="35" t="s">
        <v>2499</v>
      </c>
      <c r="J733" s="43" t="s">
        <v>4443</v>
      </c>
      <c r="K733" s="43" t="s">
        <v>3555</v>
      </c>
      <c r="L733" s="30">
        <v>50000</v>
      </c>
      <c r="M733" s="30">
        <v>0</v>
      </c>
      <c r="N733" s="30">
        <v>2644.62</v>
      </c>
      <c r="O733" s="30">
        <f t="shared" si="12"/>
        <v>47355.38</v>
      </c>
      <c r="P733" s="43" t="s">
        <v>2874</v>
      </c>
    </row>
    <row r="734" spans="2:16" ht="29" x14ac:dyDescent="0.35">
      <c r="B734" s="35" t="s">
        <v>4111</v>
      </c>
      <c r="C734" s="80" t="s">
        <v>4255</v>
      </c>
      <c r="D734" s="36">
        <v>45140</v>
      </c>
      <c r="E734" s="36">
        <v>45230</v>
      </c>
      <c r="F734" s="36">
        <v>45960</v>
      </c>
      <c r="G734" s="64" t="s">
        <v>6</v>
      </c>
      <c r="H734" s="43" t="s">
        <v>4256</v>
      </c>
      <c r="I734" s="35" t="s">
        <v>2487</v>
      </c>
      <c r="J734" s="43" t="s">
        <v>4428</v>
      </c>
      <c r="K734" s="43" t="s">
        <v>3555</v>
      </c>
      <c r="L734" s="30">
        <v>50000</v>
      </c>
      <c r="M734" s="30">
        <v>0</v>
      </c>
      <c r="N734" s="30">
        <f>2367.48+4426.72+2243.85</f>
        <v>9038.0500000000011</v>
      </c>
      <c r="O734" s="30">
        <f t="shared" si="12"/>
        <v>40961.949999999997</v>
      </c>
      <c r="P734" s="43" t="s">
        <v>2874</v>
      </c>
    </row>
    <row r="735" spans="2:16" ht="29" x14ac:dyDescent="0.35">
      <c r="B735" s="35" t="s">
        <v>4111</v>
      </c>
      <c r="C735" s="80" t="s">
        <v>4257</v>
      </c>
      <c r="D735" s="36">
        <v>45140</v>
      </c>
      <c r="E735" s="36">
        <v>45230</v>
      </c>
      <c r="F735" s="36">
        <v>45960</v>
      </c>
      <c r="G735" s="64" t="s">
        <v>6</v>
      </c>
      <c r="H735" s="43" t="s">
        <v>4258</v>
      </c>
      <c r="I735" s="35" t="s">
        <v>2484</v>
      </c>
      <c r="J735" s="43" t="s">
        <v>4429</v>
      </c>
      <c r="K735" s="43" t="s">
        <v>3555</v>
      </c>
      <c r="L735" s="30">
        <v>50000</v>
      </c>
      <c r="M735" s="30">
        <v>0</v>
      </c>
      <c r="N735" s="30">
        <f>27000+12000</f>
        <v>39000</v>
      </c>
      <c r="O735" s="30">
        <f t="shared" si="12"/>
        <v>11000</v>
      </c>
      <c r="P735" s="43" t="s">
        <v>2874</v>
      </c>
    </row>
    <row r="736" spans="2:16" ht="29" x14ac:dyDescent="0.35">
      <c r="B736" s="35" t="s">
        <v>4111</v>
      </c>
      <c r="C736" s="80" t="s">
        <v>4259</v>
      </c>
      <c r="D736" s="36">
        <v>45140</v>
      </c>
      <c r="E736" s="36">
        <v>45230</v>
      </c>
      <c r="F736" s="36">
        <v>45960</v>
      </c>
      <c r="G736" s="64" t="s">
        <v>6</v>
      </c>
      <c r="H736" s="43" t="s">
        <v>4260</v>
      </c>
      <c r="I736" s="35" t="s">
        <v>2488</v>
      </c>
      <c r="J736" s="43" t="s">
        <v>4430</v>
      </c>
      <c r="K736" s="43" t="s">
        <v>3555</v>
      </c>
      <c r="L736" s="30">
        <v>40000</v>
      </c>
      <c r="M736" s="30">
        <v>0</v>
      </c>
      <c r="N736" s="30">
        <f>15200+11050</f>
        <v>26250</v>
      </c>
      <c r="O736" s="30">
        <f t="shared" si="12"/>
        <v>13750</v>
      </c>
      <c r="P736" s="43" t="s">
        <v>2874</v>
      </c>
    </row>
    <row r="737" spans="2:16" ht="29" x14ac:dyDescent="0.35">
      <c r="B737" s="35" t="s">
        <v>4111</v>
      </c>
      <c r="C737" s="80" t="s">
        <v>4261</v>
      </c>
      <c r="D737" s="36">
        <v>45140</v>
      </c>
      <c r="E737" s="36">
        <v>45230</v>
      </c>
      <c r="F737" s="36">
        <v>45960</v>
      </c>
      <c r="G737" s="64" t="s">
        <v>6</v>
      </c>
      <c r="H737" s="43" t="s">
        <v>4262</v>
      </c>
      <c r="I737" s="35" t="s">
        <v>2480</v>
      </c>
      <c r="J737" s="43" t="s">
        <v>4431</v>
      </c>
      <c r="K737" s="43" t="s">
        <v>3555</v>
      </c>
      <c r="L737" s="30">
        <v>27000</v>
      </c>
      <c r="M737" s="30">
        <v>0</v>
      </c>
      <c r="N737" s="30">
        <f>12880+2487.43+4562.55</f>
        <v>19929.98</v>
      </c>
      <c r="O737" s="30">
        <f t="shared" si="12"/>
        <v>7070.02</v>
      </c>
      <c r="P737" s="43" t="s">
        <v>2874</v>
      </c>
    </row>
    <row r="738" spans="2:16" ht="29" x14ac:dyDescent="0.35">
      <c r="B738" s="35" t="s">
        <v>4111</v>
      </c>
      <c r="C738" s="80" t="s">
        <v>4263</v>
      </c>
      <c r="D738" s="36">
        <v>45140</v>
      </c>
      <c r="E738" s="36">
        <v>45230</v>
      </c>
      <c r="F738" s="36">
        <v>45960</v>
      </c>
      <c r="G738" s="64" t="s">
        <v>6</v>
      </c>
      <c r="H738" s="43" t="s">
        <v>4264</v>
      </c>
      <c r="I738" s="35" t="s">
        <v>2497</v>
      </c>
      <c r="J738" s="43" t="s">
        <v>4432</v>
      </c>
      <c r="K738" s="43" t="s">
        <v>3555</v>
      </c>
      <c r="L738" s="30">
        <v>20000</v>
      </c>
      <c r="M738" s="30">
        <v>0</v>
      </c>
      <c r="N738" s="30">
        <v>1432.86</v>
      </c>
      <c r="O738" s="30">
        <f t="shared" si="12"/>
        <v>18567.14</v>
      </c>
      <c r="P738" s="43" t="s">
        <v>2874</v>
      </c>
    </row>
    <row r="739" spans="2:16" ht="29" x14ac:dyDescent="0.35">
      <c r="B739" s="35" t="s">
        <v>4111</v>
      </c>
      <c r="C739" s="80" t="s">
        <v>4265</v>
      </c>
      <c r="D739" s="36">
        <v>45140</v>
      </c>
      <c r="E739" s="36">
        <v>45230</v>
      </c>
      <c r="F739" s="36">
        <v>45960</v>
      </c>
      <c r="G739" s="64" t="s">
        <v>6</v>
      </c>
      <c r="H739" s="43" t="s">
        <v>4266</v>
      </c>
      <c r="I739" s="35" t="s">
        <v>2480</v>
      </c>
      <c r="J739" s="43" t="s">
        <v>4669</v>
      </c>
      <c r="K739" s="43" t="s">
        <v>3555</v>
      </c>
      <c r="L739" s="30">
        <v>45000</v>
      </c>
      <c r="M739" s="30">
        <v>0</v>
      </c>
      <c r="N739" s="30">
        <v>0</v>
      </c>
      <c r="O739" s="30">
        <f t="shared" si="12"/>
        <v>45000</v>
      </c>
      <c r="P739" s="43" t="s">
        <v>2874</v>
      </c>
    </row>
    <row r="740" spans="2:16" ht="29" x14ac:dyDescent="0.35">
      <c r="B740" s="35" t="s">
        <v>4111</v>
      </c>
      <c r="C740" s="80" t="s">
        <v>4267</v>
      </c>
      <c r="D740" s="36">
        <v>45140</v>
      </c>
      <c r="E740" s="36">
        <v>45230</v>
      </c>
      <c r="F740" s="36">
        <v>45960</v>
      </c>
      <c r="G740" s="64" t="s">
        <v>6</v>
      </c>
      <c r="H740" s="43" t="s">
        <v>4268</v>
      </c>
      <c r="I740" s="35" t="s">
        <v>2542</v>
      </c>
      <c r="J740" s="43" t="s">
        <v>3354</v>
      </c>
      <c r="K740" s="43" t="s">
        <v>3555</v>
      </c>
      <c r="L740" s="30">
        <v>50000</v>
      </c>
      <c r="M740" s="30">
        <v>0</v>
      </c>
      <c r="N740" s="30">
        <f>7469.47+2892.14+2922.98+340.91</f>
        <v>13625.5</v>
      </c>
      <c r="O740" s="30">
        <f t="shared" si="12"/>
        <v>36374.5</v>
      </c>
      <c r="P740" s="43" t="s">
        <v>2874</v>
      </c>
    </row>
    <row r="741" spans="2:16" ht="29" x14ac:dyDescent="0.35">
      <c r="B741" s="35" t="s">
        <v>4111</v>
      </c>
      <c r="C741" s="80" t="s">
        <v>4269</v>
      </c>
      <c r="D741" s="36">
        <v>45140</v>
      </c>
      <c r="E741" s="36">
        <v>45230</v>
      </c>
      <c r="F741" s="36">
        <v>45960</v>
      </c>
      <c r="G741" s="64" t="s">
        <v>6</v>
      </c>
      <c r="H741" s="43" t="s">
        <v>4270</v>
      </c>
      <c r="I741" s="35" t="s">
        <v>2491</v>
      </c>
      <c r="J741" s="43" t="s">
        <v>4433</v>
      </c>
      <c r="K741" s="43" t="s">
        <v>3555</v>
      </c>
      <c r="L741" s="30">
        <v>50000</v>
      </c>
      <c r="M741" s="30">
        <v>0</v>
      </c>
      <c r="N741" s="30">
        <f>27200+22800</f>
        <v>50000</v>
      </c>
      <c r="O741" s="30">
        <f t="shared" si="12"/>
        <v>0</v>
      </c>
      <c r="P741" s="43" t="s">
        <v>2874</v>
      </c>
    </row>
    <row r="742" spans="2:16" ht="29" x14ac:dyDescent="0.35">
      <c r="B742" s="35" t="s">
        <v>4111</v>
      </c>
      <c r="C742" s="80" t="s">
        <v>4271</v>
      </c>
      <c r="D742" s="36">
        <v>45140</v>
      </c>
      <c r="E742" s="36">
        <v>45230</v>
      </c>
      <c r="F742" s="36">
        <v>45960</v>
      </c>
      <c r="G742" s="64" t="s">
        <v>6</v>
      </c>
      <c r="H742" s="43" t="s">
        <v>4272</v>
      </c>
      <c r="I742" s="35" t="s">
        <v>2491</v>
      </c>
      <c r="J742" s="43" t="s">
        <v>4434</v>
      </c>
      <c r="K742" s="43" t="s">
        <v>3555</v>
      </c>
      <c r="L742" s="30">
        <v>50000</v>
      </c>
      <c r="M742" s="30">
        <v>0</v>
      </c>
      <c r="N742" s="30">
        <v>0</v>
      </c>
      <c r="O742" s="30">
        <f t="shared" si="12"/>
        <v>50000</v>
      </c>
      <c r="P742" s="43" t="s">
        <v>2874</v>
      </c>
    </row>
    <row r="743" spans="2:16" ht="29" x14ac:dyDescent="0.35">
      <c r="B743" s="35" t="s">
        <v>4111</v>
      </c>
      <c r="C743" s="80" t="s">
        <v>4273</v>
      </c>
      <c r="D743" s="36">
        <v>45140</v>
      </c>
      <c r="E743" s="36">
        <v>45230</v>
      </c>
      <c r="F743" s="36">
        <v>45960</v>
      </c>
      <c r="G743" s="64" t="s">
        <v>6</v>
      </c>
      <c r="H743" s="43" t="s">
        <v>4274</v>
      </c>
      <c r="I743" s="35" t="s">
        <v>2534</v>
      </c>
      <c r="J743" s="43" t="s">
        <v>4435</v>
      </c>
      <c r="K743" s="43" t="s">
        <v>3555</v>
      </c>
      <c r="L743" s="30">
        <v>10000</v>
      </c>
      <c r="M743" s="30">
        <v>0</v>
      </c>
      <c r="N743" s="30">
        <v>0</v>
      </c>
      <c r="O743" s="30">
        <f t="shared" si="12"/>
        <v>10000</v>
      </c>
      <c r="P743" s="43" t="s">
        <v>2874</v>
      </c>
    </row>
    <row r="744" spans="2:16" ht="29" x14ac:dyDescent="0.35">
      <c r="B744" s="35" t="s">
        <v>4111</v>
      </c>
      <c r="C744" s="80" t="s">
        <v>4275</v>
      </c>
      <c r="D744" s="36">
        <v>45140</v>
      </c>
      <c r="E744" s="36">
        <v>45230</v>
      </c>
      <c r="F744" s="36">
        <v>45960</v>
      </c>
      <c r="G744" s="64" t="s">
        <v>6</v>
      </c>
      <c r="H744" s="43" t="s">
        <v>4276</v>
      </c>
      <c r="I744" s="35" t="s">
        <v>3011</v>
      </c>
      <c r="J744" s="43" t="s">
        <v>4436</v>
      </c>
      <c r="K744" s="43" t="s">
        <v>3555</v>
      </c>
      <c r="L744" s="30">
        <v>30000</v>
      </c>
      <c r="M744" s="30">
        <v>0</v>
      </c>
      <c r="N744" s="30">
        <f>20000+10000</f>
        <v>30000</v>
      </c>
      <c r="O744" s="30">
        <f t="shared" si="12"/>
        <v>0</v>
      </c>
      <c r="P744" s="43" t="s">
        <v>2874</v>
      </c>
    </row>
    <row r="745" spans="2:16" ht="29" x14ac:dyDescent="0.35">
      <c r="B745" s="35" t="s">
        <v>4111</v>
      </c>
      <c r="C745" s="80" t="s">
        <v>4277</v>
      </c>
      <c r="D745" s="36">
        <v>45140</v>
      </c>
      <c r="E745" s="36">
        <v>45230</v>
      </c>
      <c r="F745" s="36">
        <v>45960</v>
      </c>
      <c r="G745" s="64" t="s">
        <v>6</v>
      </c>
      <c r="H745" s="43" t="s">
        <v>4278</v>
      </c>
      <c r="I745" s="35" t="s">
        <v>2514</v>
      </c>
      <c r="J745" s="43" t="s">
        <v>4437</v>
      </c>
      <c r="K745" s="43" t="s">
        <v>3555</v>
      </c>
      <c r="L745" s="30">
        <v>50000</v>
      </c>
      <c r="M745" s="30">
        <v>0</v>
      </c>
      <c r="N745" s="30">
        <f>16182.85+9008.34+4504.17+5750+4504.17+4504.12+4504.17</f>
        <v>48957.82</v>
      </c>
      <c r="O745" s="30">
        <f t="shared" si="12"/>
        <v>1042.1800000000003</v>
      </c>
      <c r="P745" s="43" t="s">
        <v>2874</v>
      </c>
    </row>
    <row r="746" spans="2:16" ht="43.5" x14ac:dyDescent="0.35">
      <c r="B746" s="35" t="s">
        <v>4111</v>
      </c>
      <c r="C746" s="80" t="s">
        <v>4279</v>
      </c>
      <c r="D746" s="36">
        <v>45140</v>
      </c>
      <c r="E746" s="36">
        <v>45230</v>
      </c>
      <c r="F746" s="36">
        <v>45960</v>
      </c>
      <c r="G746" s="64" t="s">
        <v>6</v>
      </c>
      <c r="H746" s="43" t="s">
        <v>4280</v>
      </c>
      <c r="I746" s="35" t="s">
        <v>2480</v>
      </c>
      <c r="J746" s="43" t="s">
        <v>4670</v>
      </c>
      <c r="K746" s="43" t="s">
        <v>3555</v>
      </c>
      <c r="L746" s="30">
        <v>27000</v>
      </c>
      <c r="M746" s="30">
        <v>0</v>
      </c>
      <c r="N746" s="30">
        <f>27000</f>
        <v>27000</v>
      </c>
      <c r="O746" s="30">
        <f t="shared" si="12"/>
        <v>0</v>
      </c>
      <c r="P746" s="43" t="s">
        <v>2874</v>
      </c>
    </row>
    <row r="747" spans="2:16" ht="29" x14ac:dyDescent="0.35">
      <c r="B747" s="35" t="s">
        <v>4111</v>
      </c>
      <c r="C747" s="80" t="s">
        <v>4281</v>
      </c>
      <c r="D747" s="36">
        <v>45140</v>
      </c>
      <c r="E747" s="36">
        <v>45230</v>
      </c>
      <c r="F747" s="36">
        <v>45960</v>
      </c>
      <c r="G747" s="64" t="s">
        <v>6</v>
      </c>
      <c r="H747" s="43" t="s">
        <v>4282</v>
      </c>
      <c r="I747" s="35" t="s">
        <v>2480</v>
      </c>
      <c r="J747" s="43" t="s">
        <v>4671</v>
      </c>
      <c r="K747" s="43" t="s">
        <v>3555</v>
      </c>
      <c r="L747" s="30">
        <v>36222</v>
      </c>
      <c r="M747" s="30">
        <v>0</v>
      </c>
      <c r="N747" s="30">
        <f>3687+6360.59+24629.26+1545.15</f>
        <v>36222</v>
      </c>
      <c r="O747" s="30">
        <f t="shared" si="12"/>
        <v>0</v>
      </c>
      <c r="P747" s="43" t="s">
        <v>2874</v>
      </c>
    </row>
    <row r="748" spans="2:16" ht="29" x14ac:dyDescent="0.35">
      <c r="B748" s="35" t="s">
        <v>4111</v>
      </c>
      <c r="C748" s="80" t="s">
        <v>4283</v>
      </c>
      <c r="D748" s="36">
        <v>45140</v>
      </c>
      <c r="E748" s="36">
        <v>45230</v>
      </c>
      <c r="F748" s="36">
        <v>45960</v>
      </c>
      <c r="G748" s="64" t="s">
        <v>6</v>
      </c>
      <c r="H748" s="43" t="s">
        <v>4284</v>
      </c>
      <c r="I748" s="35" t="s">
        <v>2488</v>
      </c>
      <c r="J748" s="43" t="s">
        <v>4672</v>
      </c>
      <c r="K748" s="43" t="s">
        <v>3555</v>
      </c>
      <c r="L748" s="30">
        <v>26230</v>
      </c>
      <c r="M748" s="30">
        <v>0</v>
      </c>
      <c r="N748" s="30">
        <f>20164.62</f>
        <v>20164.62</v>
      </c>
      <c r="O748" s="30">
        <f t="shared" si="12"/>
        <v>6065.380000000001</v>
      </c>
      <c r="P748" s="43" t="s">
        <v>2874</v>
      </c>
    </row>
    <row r="749" spans="2:16" ht="29" x14ac:dyDescent="0.35">
      <c r="B749" s="35" t="s">
        <v>4111</v>
      </c>
      <c r="C749" s="80" t="s">
        <v>4285</v>
      </c>
      <c r="D749" s="36">
        <v>45140</v>
      </c>
      <c r="E749" s="36">
        <v>45230</v>
      </c>
      <c r="F749" s="36">
        <v>45960</v>
      </c>
      <c r="G749" s="64" t="s">
        <v>6</v>
      </c>
      <c r="H749" s="43" t="s">
        <v>4286</v>
      </c>
      <c r="I749" s="35" t="s">
        <v>2540</v>
      </c>
      <c r="J749" s="43" t="s">
        <v>3354</v>
      </c>
      <c r="K749" s="43" t="s">
        <v>3555</v>
      </c>
      <c r="L749" s="30">
        <v>50000</v>
      </c>
      <c r="M749" s="30">
        <v>0</v>
      </c>
      <c r="N749" s="30">
        <f>7500+6100.67+8771.95</f>
        <v>22372.620000000003</v>
      </c>
      <c r="O749" s="30">
        <f t="shared" si="12"/>
        <v>27627.379999999997</v>
      </c>
      <c r="P749" s="43" t="s">
        <v>2874</v>
      </c>
    </row>
    <row r="750" spans="2:16" ht="29" x14ac:dyDescent="0.35">
      <c r="B750" s="35" t="s">
        <v>4111</v>
      </c>
      <c r="C750" s="80" t="s">
        <v>4287</v>
      </c>
      <c r="D750" s="36">
        <v>45140</v>
      </c>
      <c r="E750" s="36">
        <v>45230</v>
      </c>
      <c r="F750" s="36">
        <v>45960</v>
      </c>
      <c r="G750" s="64" t="s">
        <v>6</v>
      </c>
      <c r="H750" s="43" t="s">
        <v>4288</v>
      </c>
      <c r="I750" s="35" t="s">
        <v>2506</v>
      </c>
      <c r="J750" s="43" t="s">
        <v>4438</v>
      </c>
      <c r="K750" s="43" t="s">
        <v>3555</v>
      </c>
      <c r="L750" s="30">
        <v>38000</v>
      </c>
      <c r="M750" s="30">
        <v>0</v>
      </c>
      <c r="N750" s="30">
        <f>1478.96+2840.17</f>
        <v>4319.13</v>
      </c>
      <c r="O750" s="30">
        <f t="shared" si="12"/>
        <v>33680.870000000003</v>
      </c>
      <c r="P750" s="43" t="s">
        <v>2874</v>
      </c>
    </row>
    <row r="751" spans="2:16" ht="29" x14ac:dyDescent="0.35">
      <c r="B751" s="35" t="s">
        <v>4111</v>
      </c>
      <c r="C751" s="80" t="s">
        <v>4289</v>
      </c>
      <c r="D751" s="36">
        <v>45140</v>
      </c>
      <c r="E751" s="36">
        <v>45230</v>
      </c>
      <c r="F751" s="36">
        <v>45960</v>
      </c>
      <c r="G751" s="64" t="s">
        <v>6</v>
      </c>
      <c r="H751" s="43" t="s">
        <v>4290</v>
      </c>
      <c r="I751" s="35" t="s">
        <v>2480</v>
      </c>
      <c r="J751" s="43" t="s">
        <v>4439</v>
      </c>
      <c r="K751" s="43" t="s">
        <v>3555</v>
      </c>
      <c r="L751" s="30">
        <v>50000</v>
      </c>
      <c r="M751" s="30">
        <v>0</v>
      </c>
      <c r="N751" s="30">
        <f>4810+34980+10210</f>
        <v>50000</v>
      </c>
      <c r="O751" s="30">
        <f t="shared" si="12"/>
        <v>0</v>
      </c>
      <c r="P751" s="43" t="s">
        <v>2874</v>
      </c>
    </row>
    <row r="752" spans="2:16" ht="29" x14ac:dyDescent="0.35">
      <c r="B752" s="35" t="s">
        <v>4111</v>
      </c>
      <c r="C752" s="80" t="s">
        <v>4291</v>
      </c>
      <c r="D752" s="36">
        <v>45140</v>
      </c>
      <c r="E752" s="36">
        <v>45230</v>
      </c>
      <c r="F752" s="36">
        <v>45960</v>
      </c>
      <c r="G752" s="64" t="s">
        <v>6</v>
      </c>
      <c r="H752" s="43" t="s">
        <v>4292</v>
      </c>
      <c r="I752" s="35" t="s">
        <v>2493</v>
      </c>
      <c r="J752" s="43" t="s">
        <v>4440</v>
      </c>
      <c r="K752" s="43" t="s">
        <v>3555</v>
      </c>
      <c r="L752" s="30">
        <v>50000</v>
      </c>
      <c r="M752" s="30">
        <v>0</v>
      </c>
      <c r="N752" s="30">
        <v>0</v>
      </c>
      <c r="O752" s="30">
        <f t="shared" si="12"/>
        <v>50000</v>
      </c>
      <c r="P752" s="43" t="s">
        <v>2874</v>
      </c>
    </row>
    <row r="753" spans="2:16" ht="29" x14ac:dyDescent="0.35">
      <c r="B753" s="35" t="s">
        <v>4111</v>
      </c>
      <c r="C753" s="80" t="s">
        <v>4293</v>
      </c>
      <c r="D753" s="36">
        <v>45140</v>
      </c>
      <c r="E753" s="36">
        <v>45230</v>
      </c>
      <c r="F753" s="36">
        <v>45960</v>
      </c>
      <c r="G753" s="64" t="s">
        <v>6</v>
      </c>
      <c r="H753" s="43" t="s">
        <v>4294</v>
      </c>
      <c r="I753" s="35" t="s">
        <v>2480</v>
      </c>
      <c r="J753" s="43" t="s">
        <v>4441</v>
      </c>
      <c r="K753" s="43" t="s">
        <v>3555</v>
      </c>
      <c r="L753" s="30">
        <v>50000</v>
      </c>
      <c r="M753" s="30">
        <v>0</v>
      </c>
      <c r="N753" s="30">
        <f>23605.35+10177.02+14551.75</f>
        <v>48334.119999999995</v>
      </c>
      <c r="O753" s="30">
        <f t="shared" si="12"/>
        <v>1665.8800000000047</v>
      </c>
      <c r="P753" s="43" t="s">
        <v>2874</v>
      </c>
    </row>
    <row r="754" spans="2:16" ht="29" x14ac:dyDescent="0.35">
      <c r="B754" s="35" t="s">
        <v>4111</v>
      </c>
      <c r="C754" s="80" t="s">
        <v>4295</v>
      </c>
      <c r="D754" s="36">
        <v>45140</v>
      </c>
      <c r="E754" s="36">
        <v>45230</v>
      </c>
      <c r="F754" s="36">
        <v>45960</v>
      </c>
      <c r="G754" s="64" t="s">
        <v>6</v>
      </c>
      <c r="H754" s="43" t="s">
        <v>4296</v>
      </c>
      <c r="I754" s="35" t="s">
        <v>2516</v>
      </c>
      <c r="J754" s="43" t="s">
        <v>4442</v>
      </c>
      <c r="K754" s="43" t="s">
        <v>3555</v>
      </c>
      <c r="L754" s="30">
        <v>50000</v>
      </c>
      <c r="M754" s="30">
        <v>0</v>
      </c>
      <c r="N754" s="30">
        <f>49100</f>
        <v>49100</v>
      </c>
      <c r="O754" s="30">
        <f t="shared" si="12"/>
        <v>900</v>
      </c>
      <c r="P754" s="43" t="s">
        <v>2874</v>
      </c>
    </row>
    <row r="755" spans="2:16" ht="29" x14ac:dyDescent="0.35">
      <c r="B755" s="35" t="s">
        <v>4111</v>
      </c>
      <c r="C755" s="80" t="s">
        <v>4297</v>
      </c>
      <c r="D755" s="36">
        <v>45140</v>
      </c>
      <c r="E755" s="36">
        <v>45230</v>
      </c>
      <c r="F755" s="36">
        <v>45960</v>
      </c>
      <c r="G755" s="64" t="s">
        <v>6</v>
      </c>
      <c r="H755" s="43" t="s">
        <v>4298</v>
      </c>
      <c r="I755" s="35" t="s">
        <v>2474</v>
      </c>
      <c r="J755" s="43" t="s">
        <v>3804</v>
      </c>
      <c r="K755" s="43" t="s">
        <v>3555</v>
      </c>
      <c r="L755" s="30">
        <v>10000</v>
      </c>
      <c r="M755" s="30">
        <v>0</v>
      </c>
      <c r="N755" s="30">
        <v>0</v>
      </c>
      <c r="O755" s="30">
        <f t="shared" si="12"/>
        <v>10000</v>
      </c>
      <c r="P755" s="43" t="s">
        <v>2874</v>
      </c>
    </row>
    <row r="756" spans="2:16" ht="29" x14ac:dyDescent="0.35">
      <c r="B756" s="35" t="s">
        <v>4111</v>
      </c>
      <c r="C756" s="80" t="s">
        <v>4299</v>
      </c>
      <c r="D756" s="36">
        <v>45140</v>
      </c>
      <c r="E756" s="36">
        <v>45230</v>
      </c>
      <c r="F756" s="36">
        <v>45960</v>
      </c>
      <c r="G756" s="64" t="s">
        <v>6</v>
      </c>
      <c r="H756" s="43" t="s">
        <v>4300</v>
      </c>
      <c r="I756" s="35" t="s">
        <v>2490</v>
      </c>
      <c r="J756" s="43" t="s">
        <v>4673</v>
      </c>
      <c r="K756" s="43" t="s">
        <v>3555</v>
      </c>
      <c r="L756" s="30">
        <v>35000</v>
      </c>
      <c r="M756" s="30">
        <v>0</v>
      </c>
      <c r="N756" s="30">
        <f>2275+8300+2075+6225+2075+2500+5000+5000+1550</f>
        <v>35000</v>
      </c>
      <c r="O756" s="30">
        <f t="shared" si="12"/>
        <v>0</v>
      </c>
      <c r="P756" s="43" t="s">
        <v>2874</v>
      </c>
    </row>
    <row r="757" spans="2:16" ht="29" x14ac:dyDescent="0.35">
      <c r="B757" s="35" t="s">
        <v>4111</v>
      </c>
      <c r="C757" s="80" t="s">
        <v>4303</v>
      </c>
      <c r="D757" s="36">
        <v>45140</v>
      </c>
      <c r="E757" s="36">
        <v>45233</v>
      </c>
      <c r="F757" s="36">
        <v>45963</v>
      </c>
      <c r="G757" s="64" t="s">
        <v>6</v>
      </c>
      <c r="H757" s="43" t="s">
        <v>4304</v>
      </c>
      <c r="I757" s="35" t="s">
        <v>2476</v>
      </c>
      <c r="J757" s="43" t="s">
        <v>4444</v>
      </c>
      <c r="K757" s="43" t="s">
        <v>3555</v>
      </c>
      <c r="L757" s="30">
        <v>36000</v>
      </c>
      <c r="M757" s="30">
        <v>0</v>
      </c>
      <c r="N757" s="30">
        <f>700+700+882.63+6168.77+5984.01+3250</f>
        <v>17685.410000000003</v>
      </c>
      <c r="O757" s="30">
        <f t="shared" si="12"/>
        <v>18314.589999999997</v>
      </c>
      <c r="P757" s="43" t="s">
        <v>2874</v>
      </c>
    </row>
    <row r="758" spans="2:16" ht="29" x14ac:dyDescent="0.35">
      <c r="B758" s="35" t="s">
        <v>4111</v>
      </c>
      <c r="C758" s="80" t="s">
        <v>4305</v>
      </c>
      <c r="D758" s="36">
        <v>45140</v>
      </c>
      <c r="E758" s="36">
        <v>45233</v>
      </c>
      <c r="F758" s="36">
        <v>45963</v>
      </c>
      <c r="G758" s="64" t="s">
        <v>6</v>
      </c>
      <c r="H758" s="43" t="s">
        <v>4306</v>
      </c>
      <c r="I758" s="35" t="s">
        <v>2475</v>
      </c>
      <c r="J758" s="43" t="s">
        <v>3804</v>
      </c>
      <c r="K758" s="43" t="s">
        <v>3555</v>
      </c>
      <c r="L758" s="30">
        <v>30000</v>
      </c>
      <c r="M758" s="30">
        <v>0</v>
      </c>
      <c r="N758" s="30">
        <v>27000</v>
      </c>
      <c r="O758" s="30">
        <f t="shared" si="12"/>
        <v>3000</v>
      </c>
      <c r="P758" s="43" t="s">
        <v>2874</v>
      </c>
    </row>
    <row r="759" spans="2:16" x14ac:dyDescent="0.35">
      <c r="B759" s="35" t="s">
        <v>4314</v>
      </c>
      <c r="C759" s="80" t="s">
        <v>4312</v>
      </c>
      <c r="D759" s="36">
        <v>45177</v>
      </c>
      <c r="E759" s="36">
        <v>45242</v>
      </c>
      <c r="F759" s="36">
        <v>46337</v>
      </c>
      <c r="G759" s="64" t="s">
        <v>6</v>
      </c>
      <c r="H759" s="43" t="s">
        <v>4315</v>
      </c>
      <c r="I759" s="35" t="s">
        <v>2506</v>
      </c>
      <c r="J759" s="38" t="s">
        <v>4675</v>
      </c>
      <c r="K759" s="38" t="s">
        <v>2586</v>
      </c>
      <c r="L759" s="30">
        <v>103770</v>
      </c>
      <c r="M759" s="30">
        <v>0</v>
      </c>
      <c r="N759" s="30">
        <v>0</v>
      </c>
      <c r="O759" s="30">
        <f t="shared" si="12"/>
        <v>103770</v>
      </c>
      <c r="P759" s="44">
        <v>5.23</v>
      </c>
    </row>
    <row r="760" spans="2:16" x14ac:dyDescent="0.35">
      <c r="B760" s="35" t="s">
        <v>4230</v>
      </c>
      <c r="C760" s="80" t="s">
        <v>4229</v>
      </c>
      <c r="D760" s="36">
        <v>45177</v>
      </c>
      <c r="E760" s="36">
        <v>45243</v>
      </c>
      <c r="F760" s="36">
        <v>47069</v>
      </c>
      <c r="G760" s="64" t="s">
        <v>6</v>
      </c>
      <c r="H760" s="43" t="s">
        <v>4228</v>
      </c>
      <c r="I760" s="35" t="s">
        <v>2491</v>
      </c>
      <c r="J760" s="38" t="s">
        <v>4667</v>
      </c>
      <c r="K760" s="38" t="s">
        <v>2586</v>
      </c>
      <c r="L760" s="30">
        <v>2500000</v>
      </c>
      <c r="M760" s="30">
        <v>0</v>
      </c>
      <c r="N760" s="30">
        <f>47689.25+92723.62+3365.76+243506.01</f>
        <v>387284.64</v>
      </c>
      <c r="O760" s="30">
        <f t="shared" si="12"/>
        <v>2112715.36</v>
      </c>
      <c r="P760" s="44">
        <v>1.1499999999999999</v>
      </c>
    </row>
    <row r="761" spans="2:16" ht="29" x14ac:dyDescent="0.35">
      <c r="B761" s="35" t="s">
        <v>4111</v>
      </c>
      <c r="C761" s="80" t="s">
        <v>4307</v>
      </c>
      <c r="D761" s="36">
        <v>45140</v>
      </c>
      <c r="E761" s="36">
        <v>45245</v>
      </c>
      <c r="F761" s="36">
        <v>45975</v>
      </c>
      <c r="G761" s="64" t="s">
        <v>6</v>
      </c>
      <c r="H761" s="43" t="s">
        <v>4308</v>
      </c>
      <c r="I761" s="35" t="s">
        <v>2480</v>
      </c>
      <c r="J761" s="43" t="s">
        <v>3804</v>
      </c>
      <c r="K761" s="43" t="s">
        <v>3555</v>
      </c>
      <c r="L761" s="30">
        <v>25000</v>
      </c>
      <c r="M761" s="30">
        <v>0</v>
      </c>
      <c r="N761" s="30">
        <f>2800+7034.97+2800+2800+2800+2800+2800+1165.03</f>
        <v>25000</v>
      </c>
      <c r="O761" s="30">
        <f t="shared" si="12"/>
        <v>0</v>
      </c>
      <c r="P761" s="43" t="s">
        <v>2874</v>
      </c>
    </row>
    <row r="762" spans="2:16" x14ac:dyDescent="0.35">
      <c r="B762" s="35" t="s">
        <v>4089</v>
      </c>
      <c r="C762" s="80" t="s">
        <v>4309</v>
      </c>
      <c r="D762" s="36">
        <v>45140</v>
      </c>
      <c r="E762" s="36">
        <v>45246</v>
      </c>
      <c r="F762" s="36">
        <v>45473</v>
      </c>
      <c r="G762" s="64" t="s">
        <v>6</v>
      </c>
      <c r="H762" s="43" t="s">
        <v>4310</v>
      </c>
      <c r="I762" s="35" t="s">
        <v>2482</v>
      </c>
      <c r="J762" s="43" t="s">
        <v>4674</v>
      </c>
      <c r="K762" s="43" t="s">
        <v>2573</v>
      </c>
      <c r="L762" s="30">
        <v>3300</v>
      </c>
      <c r="M762" s="30">
        <v>0</v>
      </c>
      <c r="N762" s="30">
        <v>3300</v>
      </c>
      <c r="O762" s="30">
        <f t="shared" si="12"/>
        <v>0</v>
      </c>
      <c r="P762" s="43" t="s">
        <v>2874</v>
      </c>
    </row>
    <row r="763" spans="2:16" x14ac:dyDescent="0.35">
      <c r="B763" s="35" t="s">
        <v>4313</v>
      </c>
      <c r="C763" s="80" t="s">
        <v>4311</v>
      </c>
      <c r="D763" s="36">
        <v>45177</v>
      </c>
      <c r="E763" s="36">
        <v>45246</v>
      </c>
      <c r="F763" s="36">
        <v>46341</v>
      </c>
      <c r="G763" s="64" t="s">
        <v>6</v>
      </c>
      <c r="H763" s="43" t="s">
        <v>4315</v>
      </c>
      <c r="I763" s="35" t="s">
        <v>2506</v>
      </c>
      <c r="J763" s="38" t="s">
        <v>4675</v>
      </c>
      <c r="K763" s="38" t="s">
        <v>2583</v>
      </c>
      <c r="L763" s="30">
        <v>20000</v>
      </c>
      <c r="M763" s="30">
        <v>0</v>
      </c>
      <c r="N763" s="30">
        <v>0</v>
      </c>
      <c r="O763" s="30">
        <f t="shared" si="12"/>
        <v>20000</v>
      </c>
      <c r="P763" s="44">
        <v>5.23</v>
      </c>
    </row>
    <row r="764" spans="2:16" ht="29" x14ac:dyDescent="0.35">
      <c r="B764" s="35" t="s">
        <v>4111</v>
      </c>
      <c r="C764" s="80" t="s">
        <v>4321</v>
      </c>
      <c r="D764" s="36">
        <v>45140</v>
      </c>
      <c r="E764" s="36">
        <v>45257</v>
      </c>
      <c r="F764" s="36">
        <v>45987</v>
      </c>
      <c r="G764" s="64" t="s">
        <v>6</v>
      </c>
      <c r="H764" s="43" t="s">
        <v>4322</v>
      </c>
      <c r="I764" s="35" t="s">
        <v>2490</v>
      </c>
      <c r="J764" s="43" t="s">
        <v>4676</v>
      </c>
      <c r="K764" s="43" t="s">
        <v>3555</v>
      </c>
      <c r="L764" s="30">
        <v>20000</v>
      </c>
      <c r="M764" s="30">
        <v>0</v>
      </c>
      <c r="N764" s="30">
        <f>1976+17109.8</f>
        <v>19085.8</v>
      </c>
      <c r="O764" s="30">
        <f t="shared" si="12"/>
        <v>914.20000000000073</v>
      </c>
      <c r="P764" s="43" t="s">
        <v>2874</v>
      </c>
    </row>
    <row r="765" spans="2:16" ht="29" x14ac:dyDescent="0.35">
      <c r="B765" s="35" t="s">
        <v>4111</v>
      </c>
      <c r="C765" s="80" t="s">
        <v>4323</v>
      </c>
      <c r="D765" s="36">
        <v>45140</v>
      </c>
      <c r="E765" s="36">
        <v>45257</v>
      </c>
      <c r="F765" s="36">
        <v>45987</v>
      </c>
      <c r="G765" s="64" t="s">
        <v>6</v>
      </c>
      <c r="H765" s="43" t="s">
        <v>4324</v>
      </c>
      <c r="I765" s="35" t="s">
        <v>2491</v>
      </c>
      <c r="J765" s="43" t="s">
        <v>4445</v>
      </c>
      <c r="K765" s="43" t="s">
        <v>3555</v>
      </c>
      <c r="L765" s="30">
        <v>20000</v>
      </c>
      <c r="M765" s="30">
        <v>0</v>
      </c>
      <c r="N765" s="30">
        <f>16644.98</f>
        <v>16644.98</v>
      </c>
      <c r="O765" s="30">
        <f t="shared" si="12"/>
        <v>3355.0200000000004</v>
      </c>
      <c r="P765" s="43" t="s">
        <v>2874</v>
      </c>
    </row>
    <row r="766" spans="2:16" ht="29" x14ac:dyDescent="0.35">
      <c r="B766" s="35" t="s">
        <v>4111</v>
      </c>
      <c r="C766" s="80" t="s">
        <v>4325</v>
      </c>
      <c r="D766" s="36">
        <v>45140</v>
      </c>
      <c r="E766" s="36">
        <v>45257</v>
      </c>
      <c r="F766" s="36">
        <v>45987</v>
      </c>
      <c r="G766" s="64" t="s">
        <v>6</v>
      </c>
      <c r="H766" s="43" t="s">
        <v>4326</v>
      </c>
      <c r="I766" s="35" t="s">
        <v>2527</v>
      </c>
      <c r="J766" s="43" t="s">
        <v>4636</v>
      </c>
      <c r="K766" s="43" t="s">
        <v>3555</v>
      </c>
      <c r="L766" s="30">
        <v>25000</v>
      </c>
      <c r="M766" s="30">
        <v>0</v>
      </c>
      <c r="N766" s="30">
        <f>9111.76+4200</f>
        <v>13311.76</v>
      </c>
      <c r="O766" s="30">
        <f t="shared" si="12"/>
        <v>11688.24</v>
      </c>
      <c r="P766" s="43" t="s">
        <v>2874</v>
      </c>
    </row>
    <row r="767" spans="2:16" ht="29" x14ac:dyDescent="0.35">
      <c r="B767" s="35" t="s">
        <v>4111</v>
      </c>
      <c r="C767" s="80" t="s">
        <v>4327</v>
      </c>
      <c r="D767" s="36">
        <v>45140</v>
      </c>
      <c r="E767" s="36">
        <v>45257</v>
      </c>
      <c r="F767" s="36">
        <v>45987</v>
      </c>
      <c r="G767" s="64" t="s">
        <v>6</v>
      </c>
      <c r="H767" s="43" t="s">
        <v>4328</v>
      </c>
      <c r="I767" s="35" t="s">
        <v>2519</v>
      </c>
      <c r="J767" s="43" t="s">
        <v>4446</v>
      </c>
      <c r="K767" s="43" t="s">
        <v>3555</v>
      </c>
      <c r="L767" s="30">
        <v>35000</v>
      </c>
      <c r="M767" s="30">
        <v>0</v>
      </c>
      <c r="N767" s="30">
        <f>29432.52+5470.13</f>
        <v>34902.65</v>
      </c>
      <c r="O767" s="30">
        <f t="shared" si="12"/>
        <v>97.349999999998545</v>
      </c>
      <c r="P767" s="43" t="s">
        <v>2874</v>
      </c>
    </row>
    <row r="768" spans="2:16" ht="29" x14ac:dyDescent="0.35">
      <c r="B768" s="35" t="s">
        <v>4111</v>
      </c>
      <c r="C768" s="80" t="s">
        <v>4329</v>
      </c>
      <c r="D768" s="36">
        <v>45140</v>
      </c>
      <c r="E768" s="36">
        <v>45257</v>
      </c>
      <c r="F768" s="36">
        <v>45987</v>
      </c>
      <c r="G768" s="64" t="s">
        <v>6</v>
      </c>
      <c r="H768" s="43" t="s">
        <v>4330</v>
      </c>
      <c r="I768" s="35" t="s">
        <v>2480</v>
      </c>
      <c r="J768" s="43" t="s">
        <v>4447</v>
      </c>
      <c r="K768" s="43" t="s">
        <v>3555</v>
      </c>
      <c r="L768" s="30">
        <v>20000</v>
      </c>
      <c r="M768" s="30">
        <v>0</v>
      </c>
      <c r="N768" s="30">
        <v>0</v>
      </c>
      <c r="O768" s="30">
        <f t="shared" si="12"/>
        <v>20000</v>
      </c>
      <c r="P768" s="43" t="s">
        <v>2874</v>
      </c>
    </row>
    <row r="769" spans="2:16" ht="29" x14ac:dyDescent="0.35">
      <c r="B769" s="35" t="s">
        <v>4111</v>
      </c>
      <c r="C769" s="80" t="s">
        <v>4331</v>
      </c>
      <c r="D769" s="36">
        <v>45140</v>
      </c>
      <c r="E769" s="36">
        <v>45257</v>
      </c>
      <c r="F769" s="36">
        <v>45987</v>
      </c>
      <c r="G769" s="64" t="s">
        <v>6</v>
      </c>
      <c r="H769" s="43" t="s">
        <v>4332</v>
      </c>
      <c r="I769" s="35" t="s">
        <v>3491</v>
      </c>
      <c r="J769" s="43" t="s">
        <v>4448</v>
      </c>
      <c r="K769" s="43" t="s">
        <v>3555</v>
      </c>
      <c r="L769" s="30">
        <v>30000</v>
      </c>
      <c r="M769" s="30">
        <v>0</v>
      </c>
      <c r="N769" s="30">
        <f>2574+5349+22077</f>
        <v>30000</v>
      </c>
      <c r="O769" s="30">
        <f t="shared" si="12"/>
        <v>0</v>
      </c>
      <c r="P769" s="43" t="s">
        <v>2874</v>
      </c>
    </row>
    <row r="770" spans="2:16" ht="29" x14ac:dyDescent="0.35">
      <c r="B770" s="35" t="s">
        <v>4111</v>
      </c>
      <c r="C770" s="80" t="s">
        <v>4333</v>
      </c>
      <c r="D770" s="36">
        <v>45140</v>
      </c>
      <c r="E770" s="36">
        <v>45257</v>
      </c>
      <c r="F770" s="36">
        <v>45987</v>
      </c>
      <c r="G770" s="64" t="s">
        <v>6</v>
      </c>
      <c r="H770" s="43" t="s">
        <v>4334</v>
      </c>
      <c r="I770" s="35" t="s">
        <v>3491</v>
      </c>
      <c r="J770" s="43" t="s">
        <v>4677</v>
      </c>
      <c r="K770" s="43" t="s">
        <v>3555</v>
      </c>
      <c r="L770" s="30">
        <v>15000</v>
      </c>
      <c r="M770" s="30">
        <v>0</v>
      </c>
      <c r="N770" s="30">
        <f>9500.95</f>
        <v>9500.9500000000007</v>
      </c>
      <c r="O770" s="30">
        <f t="shared" si="12"/>
        <v>5499.0499999999993</v>
      </c>
      <c r="P770" s="43" t="s">
        <v>2874</v>
      </c>
    </row>
    <row r="771" spans="2:16" ht="29" x14ac:dyDescent="0.35">
      <c r="B771" s="35" t="s">
        <v>4111</v>
      </c>
      <c r="C771" s="80" t="s">
        <v>4335</v>
      </c>
      <c r="D771" s="36">
        <v>45140</v>
      </c>
      <c r="E771" s="36">
        <v>45257</v>
      </c>
      <c r="F771" s="36">
        <v>45987</v>
      </c>
      <c r="G771" s="64" t="s">
        <v>6</v>
      </c>
      <c r="H771" s="43" t="s">
        <v>4336</v>
      </c>
      <c r="I771" s="35" t="s">
        <v>2521</v>
      </c>
      <c r="J771" s="43" t="s">
        <v>4449</v>
      </c>
      <c r="K771" s="43" t="s">
        <v>3555</v>
      </c>
      <c r="L771" s="30">
        <v>22000</v>
      </c>
      <c r="M771" s="30">
        <v>0</v>
      </c>
      <c r="N771" s="30">
        <f>8152+13848</f>
        <v>22000</v>
      </c>
      <c r="O771" s="30">
        <f t="shared" ref="O771:O794" si="13">L771-M771-N771</f>
        <v>0</v>
      </c>
      <c r="P771" s="43" t="s">
        <v>2874</v>
      </c>
    </row>
    <row r="772" spans="2:16" ht="29" x14ac:dyDescent="0.35">
      <c r="B772" s="35" t="s">
        <v>4111</v>
      </c>
      <c r="C772" s="80" t="s">
        <v>4337</v>
      </c>
      <c r="D772" s="36">
        <v>45140</v>
      </c>
      <c r="E772" s="36">
        <v>45257</v>
      </c>
      <c r="F772" s="36">
        <v>45987</v>
      </c>
      <c r="G772" s="64" t="s">
        <v>6</v>
      </c>
      <c r="H772" s="43" t="s">
        <v>3345</v>
      </c>
      <c r="I772" s="35" t="s">
        <v>2506</v>
      </c>
      <c r="J772" s="43" t="s">
        <v>2551</v>
      </c>
      <c r="K772" s="43" t="s">
        <v>3555</v>
      </c>
      <c r="L772" s="30">
        <v>30000</v>
      </c>
      <c r="M772" s="30">
        <v>0</v>
      </c>
      <c r="N772" s="30">
        <v>0</v>
      </c>
      <c r="O772" s="30">
        <f t="shared" si="13"/>
        <v>30000</v>
      </c>
      <c r="P772" s="43" t="s">
        <v>2874</v>
      </c>
    </row>
    <row r="773" spans="2:16" ht="29" x14ac:dyDescent="0.35">
      <c r="B773" s="35" t="s">
        <v>4111</v>
      </c>
      <c r="C773" s="80" t="s">
        <v>4338</v>
      </c>
      <c r="D773" s="36">
        <v>45140</v>
      </c>
      <c r="E773" s="36">
        <v>45257</v>
      </c>
      <c r="F773" s="36">
        <v>45987</v>
      </c>
      <c r="G773" s="64" t="s">
        <v>6</v>
      </c>
      <c r="H773" s="43" t="s">
        <v>4339</v>
      </c>
      <c r="I773" s="35" t="s">
        <v>2491</v>
      </c>
      <c r="J773" s="43" t="s">
        <v>4450</v>
      </c>
      <c r="K773" s="43" t="s">
        <v>3555</v>
      </c>
      <c r="L773" s="30">
        <v>10000</v>
      </c>
      <c r="M773" s="30">
        <v>0</v>
      </c>
      <c r="N773" s="30">
        <v>9443</v>
      </c>
      <c r="O773" s="30">
        <f t="shared" si="13"/>
        <v>557</v>
      </c>
      <c r="P773" s="43" t="s">
        <v>2874</v>
      </c>
    </row>
    <row r="774" spans="2:16" ht="29" x14ac:dyDescent="0.35">
      <c r="B774" s="35" t="s">
        <v>4111</v>
      </c>
      <c r="C774" s="80" t="s">
        <v>4340</v>
      </c>
      <c r="D774" s="36">
        <v>45140</v>
      </c>
      <c r="E774" s="36">
        <v>45257</v>
      </c>
      <c r="F774" s="36">
        <v>45987</v>
      </c>
      <c r="G774" s="64" t="s">
        <v>6</v>
      </c>
      <c r="H774" s="43" t="s">
        <v>4341</v>
      </c>
      <c r="I774" s="35" t="s">
        <v>2482</v>
      </c>
      <c r="J774" s="43" t="s">
        <v>2551</v>
      </c>
      <c r="K774" s="43" t="s">
        <v>3555</v>
      </c>
      <c r="L774" s="30">
        <v>20000</v>
      </c>
      <c r="M774" s="30">
        <v>0</v>
      </c>
      <c r="N774" s="30">
        <f>6015</f>
        <v>6015</v>
      </c>
      <c r="O774" s="30">
        <f t="shared" si="13"/>
        <v>13985</v>
      </c>
      <c r="P774" s="43" t="s">
        <v>2874</v>
      </c>
    </row>
    <row r="775" spans="2:16" ht="58" x14ac:dyDescent="0.35">
      <c r="B775" s="35" t="s">
        <v>4111</v>
      </c>
      <c r="C775" s="80" t="s">
        <v>4342</v>
      </c>
      <c r="D775" s="36">
        <v>45140</v>
      </c>
      <c r="E775" s="36">
        <v>45257</v>
      </c>
      <c r="F775" s="36">
        <v>45987</v>
      </c>
      <c r="G775" s="64" t="s">
        <v>6</v>
      </c>
      <c r="H775" s="43" t="s">
        <v>4343</v>
      </c>
      <c r="I775" s="35" t="s">
        <v>2515</v>
      </c>
      <c r="J775" s="43" t="s">
        <v>4451</v>
      </c>
      <c r="K775" s="43" t="s">
        <v>3555</v>
      </c>
      <c r="L775" s="30">
        <v>30000</v>
      </c>
      <c r="M775" s="30">
        <v>0</v>
      </c>
      <c r="N775" s="30">
        <f>3000+1000+1000+1000+2000+13500+1000</f>
        <v>22500</v>
      </c>
      <c r="O775" s="30">
        <f t="shared" si="13"/>
        <v>7500</v>
      </c>
      <c r="P775" s="43" t="s">
        <v>2874</v>
      </c>
    </row>
    <row r="776" spans="2:16" ht="29" x14ac:dyDescent="0.35">
      <c r="B776" s="35" t="s">
        <v>4111</v>
      </c>
      <c r="C776" s="80" t="s">
        <v>4344</v>
      </c>
      <c r="D776" s="36">
        <v>45140</v>
      </c>
      <c r="E776" s="36">
        <v>45257</v>
      </c>
      <c r="F776" s="36">
        <v>45987</v>
      </c>
      <c r="G776" s="64" t="s">
        <v>6</v>
      </c>
      <c r="H776" s="43" t="s">
        <v>4345</v>
      </c>
      <c r="I776" s="35" t="s">
        <v>2480</v>
      </c>
      <c r="J776" s="43" t="s">
        <v>4636</v>
      </c>
      <c r="K776" s="43" t="s">
        <v>3555</v>
      </c>
      <c r="L776" s="30">
        <v>30000</v>
      </c>
      <c r="M776" s="30">
        <v>0</v>
      </c>
      <c r="N776" s="30">
        <f>2040+3060+1020+1020+1020+1020+1020+5079+2039.38+447.99+1119+1020</f>
        <v>19905.370000000003</v>
      </c>
      <c r="O776" s="30">
        <f t="shared" si="13"/>
        <v>10094.629999999997</v>
      </c>
      <c r="P776" s="43" t="s">
        <v>2874</v>
      </c>
    </row>
    <row r="777" spans="2:16" ht="29" x14ac:dyDescent="0.35">
      <c r="B777" s="35" t="s">
        <v>4111</v>
      </c>
      <c r="C777" s="80" t="s">
        <v>4346</v>
      </c>
      <c r="D777" s="36">
        <v>45140</v>
      </c>
      <c r="E777" s="36">
        <v>45257</v>
      </c>
      <c r="F777" s="36">
        <v>45987</v>
      </c>
      <c r="G777" s="64" t="s">
        <v>6</v>
      </c>
      <c r="H777" s="43" t="s">
        <v>4347</v>
      </c>
      <c r="I777" s="35" t="s">
        <v>2480</v>
      </c>
      <c r="J777" s="43" t="s">
        <v>4452</v>
      </c>
      <c r="K777" s="43" t="s">
        <v>3555</v>
      </c>
      <c r="L777" s="30">
        <v>20000</v>
      </c>
      <c r="M777" s="30">
        <v>0</v>
      </c>
      <c r="N777" s="30">
        <v>0</v>
      </c>
      <c r="O777" s="30">
        <f t="shared" si="13"/>
        <v>20000</v>
      </c>
      <c r="P777" s="43" t="s">
        <v>2874</v>
      </c>
    </row>
    <row r="778" spans="2:16" ht="29" x14ac:dyDescent="0.35">
      <c r="B778" s="35" t="s">
        <v>4111</v>
      </c>
      <c r="C778" s="80" t="s">
        <v>4348</v>
      </c>
      <c r="D778" s="36">
        <v>45140</v>
      </c>
      <c r="E778" s="36">
        <v>45257</v>
      </c>
      <c r="F778" s="36">
        <v>45987</v>
      </c>
      <c r="G778" s="64" t="s">
        <v>6</v>
      </c>
      <c r="H778" s="43" t="s">
        <v>4349</v>
      </c>
      <c r="I778" s="35" t="s">
        <v>2483</v>
      </c>
      <c r="J778" s="43" t="s">
        <v>4453</v>
      </c>
      <c r="K778" s="43" t="s">
        <v>3555</v>
      </c>
      <c r="L778" s="30">
        <v>40000</v>
      </c>
      <c r="M778" s="30">
        <v>0</v>
      </c>
      <c r="N778" s="30">
        <v>0</v>
      </c>
      <c r="O778" s="30">
        <f t="shared" si="13"/>
        <v>40000</v>
      </c>
      <c r="P778" s="43" t="s">
        <v>2874</v>
      </c>
    </row>
    <row r="779" spans="2:16" ht="29" x14ac:dyDescent="0.35">
      <c r="B779" s="35" t="s">
        <v>4111</v>
      </c>
      <c r="C779" s="80" t="s">
        <v>4350</v>
      </c>
      <c r="D779" s="36">
        <v>45140</v>
      </c>
      <c r="E779" s="36">
        <v>45257</v>
      </c>
      <c r="F779" s="36">
        <v>45987</v>
      </c>
      <c r="G779" s="64" t="s">
        <v>6</v>
      </c>
      <c r="H779" s="43" t="s">
        <v>4351</v>
      </c>
      <c r="I779" s="35" t="s">
        <v>2480</v>
      </c>
      <c r="J779" s="43" t="s">
        <v>4454</v>
      </c>
      <c r="K779" s="43" t="s">
        <v>3555</v>
      </c>
      <c r="L779" s="30">
        <v>20000</v>
      </c>
      <c r="M779" s="30">
        <v>0</v>
      </c>
      <c r="N779" s="30">
        <f>1149.97+3400+1919.99+113.33+1700+1700+850+2550+850+2384.95</f>
        <v>16618.240000000002</v>
      </c>
      <c r="O779" s="30">
        <f t="shared" si="13"/>
        <v>3381.7599999999984</v>
      </c>
      <c r="P779" s="43" t="s">
        <v>2874</v>
      </c>
    </row>
    <row r="780" spans="2:16" ht="29" x14ac:dyDescent="0.35">
      <c r="B780" s="35" t="s">
        <v>4317</v>
      </c>
      <c r="C780" s="80" t="s">
        <v>4316</v>
      </c>
      <c r="D780" s="36">
        <v>45092</v>
      </c>
      <c r="E780" s="36">
        <v>45258</v>
      </c>
      <c r="F780" s="36">
        <v>47084</v>
      </c>
      <c r="G780" s="64" t="s">
        <v>6</v>
      </c>
      <c r="H780" s="43" t="s">
        <v>4318</v>
      </c>
      <c r="I780" s="35" t="s">
        <v>2484</v>
      </c>
      <c r="J780" s="38" t="s">
        <v>4423</v>
      </c>
      <c r="K780" s="38" t="s">
        <v>2583</v>
      </c>
      <c r="L780" s="30">
        <v>30750</v>
      </c>
      <c r="M780" s="30">
        <v>0</v>
      </c>
      <c r="N780" s="30">
        <v>0</v>
      </c>
      <c r="O780" s="30">
        <f t="shared" si="13"/>
        <v>30750</v>
      </c>
      <c r="P780" s="44">
        <v>3.29</v>
      </c>
    </row>
    <row r="781" spans="2:16" ht="29" x14ac:dyDescent="0.35">
      <c r="B781" s="35" t="s">
        <v>4320</v>
      </c>
      <c r="C781" s="80" t="s">
        <v>4319</v>
      </c>
      <c r="D781" s="36">
        <v>45092</v>
      </c>
      <c r="E781" s="36">
        <v>45258</v>
      </c>
      <c r="F781" s="36">
        <v>47084</v>
      </c>
      <c r="G781" s="64" t="s">
        <v>6</v>
      </c>
      <c r="H781" s="43" t="s">
        <v>4318</v>
      </c>
      <c r="I781" s="35" t="s">
        <v>2484</v>
      </c>
      <c r="J781" s="38" t="s">
        <v>4423</v>
      </c>
      <c r="K781" s="38" t="s">
        <v>2586</v>
      </c>
      <c r="L781" s="30">
        <v>300000</v>
      </c>
      <c r="M781" s="30">
        <v>0</v>
      </c>
      <c r="N781" s="30">
        <v>0</v>
      </c>
      <c r="O781" s="30">
        <f t="shared" si="13"/>
        <v>300000</v>
      </c>
      <c r="P781" s="44">
        <v>3.29</v>
      </c>
    </row>
    <row r="782" spans="2:16" ht="29" x14ac:dyDescent="0.35">
      <c r="B782" s="35" t="s">
        <v>4111</v>
      </c>
      <c r="C782" s="80" t="s">
        <v>4352</v>
      </c>
      <c r="D782" s="36">
        <v>45140</v>
      </c>
      <c r="E782" s="36">
        <v>45258</v>
      </c>
      <c r="F782" s="36">
        <v>45988</v>
      </c>
      <c r="G782" s="64" t="s">
        <v>6</v>
      </c>
      <c r="H782" s="43" t="s">
        <v>5678</v>
      </c>
      <c r="I782" s="35" t="s">
        <v>2534</v>
      </c>
      <c r="J782" s="43" t="s">
        <v>5806</v>
      </c>
      <c r="K782" s="43" t="s">
        <v>3555</v>
      </c>
      <c r="L782" s="30">
        <v>24000</v>
      </c>
      <c r="M782" s="30">
        <v>0</v>
      </c>
      <c r="N782" s="30">
        <f>4630.96+1200+1405.97+3489.28+1850.6</f>
        <v>12576.810000000001</v>
      </c>
      <c r="O782" s="30">
        <f t="shared" si="13"/>
        <v>11423.189999999999</v>
      </c>
      <c r="P782" s="43" t="s">
        <v>2874</v>
      </c>
    </row>
    <row r="783" spans="2:16" ht="29" x14ac:dyDescent="0.35">
      <c r="B783" s="35" t="s">
        <v>4111</v>
      </c>
      <c r="C783" s="80" t="s">
        <v>4353</v>
      </c>
      <c r="D783" s="36">
        <v>45140</v>
      </c>
      <c r="E783" s="36">
        <v>45258</v>
      </c>
      <c r="F783" s="36">
        <v>45988</v>
      </c>
      <c r="G783" s="64" t="s">
        <v>6</v>
      </c>
      <c r="H783" s="43" t="s">
        <v>4354</v>
      </c>
      <c r="I783" s="35" t="s">
        <v>3011</v>
      </c>
      <c r="J783" s="43" t="s">
        <v>4636</v>
      </c>
      <c r="K783" s="43" t="s">
        <v>3555</v>
      </c>
      <c r="L783" s="30">
        <v>20000</v>
      </c>
      <c r="M783" s="30">
        <v>0</v>
      </c>
      <c r="N783" s="30">
        <f>2417.16+3452.2+2366+6000</f>
        <v>14235.36</v>
      </c>
      <c r="O783" s="30">
        <f t="shared" si="13"/>
        <v>5764.6399999999994</v>
      </c>
      <c r="P783" s="43" t="s">
        <v>2874</v>
      </c>
    </row>
    <row r="784" spans="2:16" ht="29" x14ac:dyDescent="0.35">
      <c r="B784" s="35" t="s">
        <v>4111</v>
      </c>
      <c r="C784" s="80" t="s">
        <v>4355</v>
      </c>
      <c r="D784" s="36">
        <v>45140</v>
      </c>
      <c r="E784" s="36">
        <v>45258</v>
      </c>
      <c r="F784" s="36">
        <v>45988</v>
      </c>
      <c r="G784" s="64" t="s">
        <v>6</v>
      </c>
      <c r="H784" s="43" t="s">
        <v>4356</v>
      </c>
      <c r="I784" s="35" t="s">
        <v>2483</v>
      </c>
      <c r="J784" s="43" t="s">
        <v>4636</v>
      </c>
      <c r="K784" s="43" t="s">
        <v>3555</v>
      </c>
      <c r="L784" s="30">
        <v>10000</v>
      </c>
      <c r="M784" s="30">
        <v>0</v>
      </c>
      <c r="N784" s="30">
        <f>8500</f>
        <v>8500</v>
      </c>
      <c r="O784" s="30">
        <f t="shared" si="13"/>
        <v>1500</v>
      </c>
      <c r="P784" s="43" t="s">
        <v>2874</v>
      </c>
    </row>
    <row r="785" spans="2:16" ht="29" x14ac:dyDescent="0.35">
      <c r="B785" s="35" t="s">
        <v>4111</v>
      </c>
      <c r="C785" s="80" t="s">
        <v>4357</v>
      </c>
      <c r="D785" s="36">
        <v>45140</v>
      </c>
      <c r="E785" s="36">
        <v>45258</v>
      </c>
      <c r="F785" s="36">
        <v>45988</v>
      </c>
      <c r="G785" s="64" t="s">
        <v>6</v>
      </c>
      <c r="H785" s="43" t="s">
        <v>4358</v>
      </c>
      <c r="I785" s="35" t="s">
        <v>2499</v>
      </c>
      <c r="J785" s="43" t="s">
        <v>3804</v>
      </c>
      <c r="K785" s="43" t="s">
        <v>3555</v>
      </c>
      <c r="L785" s="30">
        <v>15000</v>
      </c>
      <c r="M785" s="30">
        <v>0</v>
      </c>
      <c r="N785" s="30">
        <f>1331.68+2984+2659.99+3868+1118.43+475.2+655.99+489</f>
        <v>13582.29</v>
      </c>
      <c r="O785" s="30">
        <f t="shared" si="13"/>
        <v>1417.7099999999991</v>
      </c>
      <c r="P785" s="43" t="s">
        <v>2874</v>
      </c>
    </row>
    <row r="786" spans="2:16" ht="29" x14ac:dyDescent="0.35">
      <c r="B786" s="35" t="s">
        <v>4111</v>
      </c>
      <c r="C786" s="80" t="s">
        <v>4359</v>
      </c>
      <c r="D786" s="36">
        <v>45140</v>
      </c>
      <c r="E786" s="36">
        <v>45258</v>
      </c>
      <c r="F786" s="36">
        <v>45988</v>
      </c>
      <c r="G786" s="64" t="s">
        <v>6</v>
      </c>
      <c r="H786" s="43" t="s">
        <v>4360</v>
      </c>
      <c r="I786" s="35" t="s">
        <v>2503</v>
      </c>
      <c r="J786" s="43" t="s">
        <v>3804</v>
      </c>
      <c r="K786" s="43" t="s">
        <v>3555</v>
      </c>
      <c r="L786" s="30">
        <v>35000</v>
      </c>
      <c r="M786" s="30">
        <v>0</v>
      </c>
      <c r="N786" s="30">
        <v>0</v>
      </c>
      <c r="O786" s="30">
        <f t="shared" si="13"/>
        <v>35000</v>
      </c>
      <c r="P786" s="43" t="s">
        <v>2874</v>
      </c>
    </row>
    <row r="787" spans="2:16" ht="29" x14ac:dyDescent="0.35">
      <c r="B787" s="35" t="s">
        <v>4111</v>
      </c>
      <c r="C787" s="80" t="s">
        <v>4361</v>
      </c>
      <c r="D787" s="36">
        <v>45140</v>
      </c>
      <c r="E787" s="36">
        <v>45258</v>
      </c>
      <c r="F787" s="36">
        <v>45988</v>
      </c>
      <c r="G787" s="64" t="s">
        <v>6</v>
      </c>
      <c r="H787" s="43" t="s">
        <v>4362</v>
      </c>
      <c r="I787" s="35" t="s">
        <v>2519</v>
      </c>
      <c r="J787" s="43" t="s">
        <v>3804</v>
      </c>
      <c r="K787" s="43" t="s">
        <v>3555</v>
      </c>
      <c r="L787" s="30">
        <v>50000</v>
      </c>
      <c r="M787" s="30">
        <v>0</v>
      </c>
      <c r="N787" s="30">
        <f>7799.96+4990+5291.48</f>
        <v>18081.439999999999</v>
      </c>
      <c r="O787" s="30">
        <f t="shared" si="13"/>
        <v>31918.560000000001</v>
      </c>
      <c r="P787" s="43" t="s">
        <v>2874</v>
      </c>
    </row>
    <row r="788" spans="2:16" ht="29" x14ac:dyDescent="0.35">
      <c r="B788" s="35" t="s">
        <v>4111</v>
      </c>
      <c r="C788" s="80" t="s">
        <v>4363</v>
      </c>
      <c r="D788" s="36">
        <v>45140</v>
      </c>
      <c r="E788" s="36">
        <v>45258</v>
      </c>
      <c r="F788" s="36">
        <v>45988</v>
      </c>
      <c r="G788" s="64" t="s">
        <v>6</v>
      </c>
      <c r="H788" s="43" t="s">
        <v>4364</v>
      </c>
      <c r="I788" s="35" t="s">
        <v>2480</v>
      </c>
      <c r="J788" s="43" t="s">
        <v>3804</v>
      </c>
      <c r="K788" s="43" t="s">
        <v>3555</v>
      </c>
      <c r="L788" s="30">
        <v>50000</v>
      </c>
      <c r="M788" s="30">
        <v>0</v>
      </c>
      <c r="N788" s="30">
        <f>4722.11+4066.79</f>
        <v>8788.9</v>
      </c>
      <c r="O788" s="30">
        <f t="shared" si="13"/>
        <v>41211.1</v>
      </c>
      <c r="P788" s="43" t="s">
        <v>2874</v>
      </c>
    </row>
    <row r="789" spans="2:16" ht="29" x14ac:dyDescent="0.35">
      <c r="B789" s="35" t="s">
        <v>4111</v>
      </c>
      <c r="C789" s="80" t="s">
        <v>4365</v>
      </c>
      <c r="D789" s="36">
        <v>45140</v>
      </c>
      <c r="E789" s="36">
        <v>45258</v>
      </c>
      <c r="F789" s="36">
        <v>45988</v>
      </c>
      <c r="G789" s="64" t="s">
        <v>6</v>
      </c>
      <c r="H789" s="43" t="s">
        <v>4366</v>
      </c>
      <c r="I789" s="35" t="s">
        <v>2506</v>
      </c>
      <c r="J789" s="43" t="s">
        <v>4636</v>
      </c>
      <c r="K789" s="43" t="s">
        <v>3555</v>
      </c>
      <c r="L789" s="30">
        <v>30000</v>
      </c>
      <c r="M789" s="30">
        <v>0</v>
      </c>
      <c r="N789" s="30">
        <f>23985+6015</f>
        <v>30000</v>
      </c>
      <c r="O789" s="30">
        <f t="shared" si="13"/>
        <v>0</v>
      </c>
      <c r="P789" s="43" t="s">
        <v>2874</v>
      </c>
    </row>
    <row r="790" spans="2:16" ht="29" x14ac:dyDescent="0.35">
      <c r="B790" s="35" t="s">
        <v>4111</v>
      </c>
      <c r="C790" s="80" t="s">
        <v>4367</v>
      </c>
      <c r="D790" s="36">
        <v>45140</v>
      </c>
      <c r="E790" s="36">
        <v>45258</v>
      </c>
      <c r="F790" s="36">
        <v>45988</v>
      </c>
      <c r="G790" s="64" t="s">
        <v>6</v>
      </c>
      <c r="H790" s="43" t="s">
        <v>4368</v>
      </c>
      <c r="I790" s="35" t="s">
        <v>2480</v>
      </c>
      <c r="J790" s="43" t="s">
        <v>4636</v>
      </c>
      <c r="K790" s="43" t="s">
        <v>3555</v>
      </c>
      <c r="L790" s="30">
        <v>50000</v>
      </c>
      <c r="M790" s="30">
        <v>0</v>
      </c>
      <c r="N790" s="30">
        <f>13200+6930+5284.13+1732.5</f>
        <v>27146.63</v>
      </c>
      <c r="O790" s="30">
        <f t="shared" si="13"/>
        <v>22853.37</v>
      </c>
      <c r="P790" s="43" t="s">
        <v>2874</v>
      </c>
    </row>
    <row r="791" spans="2:16" ht="29" x14ac:dyDescent="0.35">
      <c r="B791" s="35" t="s">
        <v>4111</v>
      </c>
      <c r="C791" s="80" t="s">
        <v>4369</v>
      </c>
      <c r="D791" s="36">
        <v>45140</v>
      </c>
      <c r="E791" s="36">
        <v>45258</v>
      </c>
      <c r="F791" s="36">
        <v>45988</v>
      </c>
      <c r="G791" s="64" t="s">
        <v>6</v>
      </c>
      <c r="H791" s="43" t="s">
        <v>4372</v>
      </c>
      <c r="I791" s="35" t="s">
        <v>2480</v>
      </c>
      <c r="J791" s="43"/>
      <c r="K791" s="43" t="s">
        <v>3555</v>
      </c>
      <c r="L791" s="30">
        <v>48000</v>
      </c>
      <c r="M791" s="30">
        <v>0</v>
      </c>
      <c r="N791" s="30">
        <v>0</v>
      </c>
      <c r="O791" s="30">
        <f t="shared" si="13"/>
        <v>48000</v>
      </c>
      <c r="P791" s="43" t="s">
        <v>2874</v>
      </c>
    </row>
    <row r="792" spans="2:16" ht="29" x14ac:dyDescent="0.35">
      <c r="B792" s="35" t="s">
        <v>4111</v>
      </c>
      <c r="C792" s="80" t="s">
        <v>4370</v>
      </c>
      <c r="D792" s="36">
        <v>45140</v>
      </c>
      <c r="E792" s="36">
        <v>45258</v>
      </c>
      <c r="F792" s="36">
        <v>45988</v>
      </c>
      <c r="G792" s="64" t="s">
        <v>6</v>
      </c>
      <c r="H792" s="43" t="s">
        <v>4371</v>
      </c>
      <c r="I792" s="35" t="s">
        <v>2516</v>
      </c>
      <c r="J792" s="43" t="s">
        <v>4704</v>
      </c>
      <c r="K792" s="43" t="s">
        <v>3555</v>
      </c>
      <c r="L792" s="30">
        <v>12000</v>
      </c>
      <c r="M792" s="30">
        <v>0</v>
      </c>
      <c r="N792" s="30">
        <f>199.99+139.95</f>
        <v>339.94</v>
      </c>
      <c r="O792" s="30">
        <f t="shared" si="13"/>
        <v>11660.06</v>
      </c>
      <c r="P792" s="43" t="s">
        <v>2874</v>
      </c>
    </row>
    <row r="793" spans="2:16" x14ac:dyDescent="0.35">
      <c r="B793" s="35" t="s">
        <v>4376</v>
      </c>
      <c r="C793" s="80" t="s">
        <v>4375</v>
      </c>
      <c r="D793" s="36">
        <v>45273</v>
      </c>
      <c r="E793" s="36">
        <v>45260</v>
      </c>
      <c r="F793" s="36">
        <v>47086</v>
      </c>
      <c r="G793" s="64" t="s">
        <v>6</v>
      </c>
      <c r="H793" s="43" t="s">
        <v>6041</v>
      </c>
      <c r="I793" s="35" t="s">
        <v>2517</v>
      </c>
      <c r="J793" s="38" t="s">
        <v>4234</v>
      </c>
      <c r="K793" s="38" t="s">
        <v>2586</v>
      </c>
      <c r="L793" s="30">
        <v>14310000</v>
      </c>
      <c r="M793" s="30">
        <v>0</v>
      </c>
      <c r="N793" s="30">
        <f>2862000</f>
        <v>2862000</v>
      </c>
      <c r="O793" s="30">
        <f t="shared" si="13"/>
        <v>11448000</v>
      </c>
      <c r="P793" s="44">
        <v>1411.32</v>
      </c>
    </row>
    <row r="794" spans="2:16" x14ac:dyDescent="0.35">
      <c r="B794" s="35" t="s">
        <v>4113</v>
      </c>
      <c r="C794" s="80" t="s">
        <v>4373</v>
      </c>
      <c r="D794" s="36">
        <v>45140</v>
      </c>
      <c r="E794" s="36">
        <v>45261</v>
      </c>
      <c r="F794" s="36">
        <v>46356</v>
      </c>
      <c r="G794" s="64" t="s">
        <v>6</v>
      </c>
      <c r="H794" s="43" t="s">
        <v>4374</v>
      </c>
      <c r="I794" s="35" t="s">
        <v>2491</v>
      </c>
      <c r="J794" s="43" t="s">
        <v>4455</v>
      </c>
      <c r="K794" s="43" t="s">
        <v>2573</v>
      </c>
      <c r="L794" s="30">
        <v>983.98</v>
      </c>
      <c r="M794" s="30">
        <v>0</v>
      </c>
      <c r="N794" s="30">
        <v>908.59</v>
      </c>
      <c r="O794" s="30">
        <f t="shared" si="13"/>
        <v>75.389999999999986</v>
      </c>
      <c r="P794" s="43" t="s">
        <v>2874</v>
      </c>
    </row>
    <row r="795" spans="2:16" ht="29" x14ac:dyDescent="0.35">
      <c r="B795" s="35" t="s">
        <v>4396</v>
      </c>
      <c r="C795" s="80" t="s">
        <v>4395</v>
      </c>
      <c r="D795" s="36">
        <v>45140</v>
      </c>
      <c r="E795" s="36">
        <v>45261</v>
      </c>
      <c r="F795" s="36">
        <v>45626</v>
      </c>
      <c r="G795" s="64" t="s">
        <v>6</v>
      </c>
      <c r="H795" s="43" t="s">
        <v>4397</v>
      </c>
      <c r="I795" s="35" t="s">
        <v>2480</v>
      </c>
      <c r="J795" s="38" t="s">
        <v>4456</v>
      </c>
      <c r="K795" s="38" t="s">
        <v>2584</v>
      </c>
      <c r="L795" s="30">
        <v>70000</v>
      </c>
      <c r="M795" s="30">
        <v>0</v>
      </c>
      <c r="N795" s="30">
        <f>35000+23000+12000</f>
        <v>70000</v>
      </c>
      <c r="O795" s="30">
        <f t="shared" ref="O795:O858" si="14">L795-M795-N795</f>
        <v>0</v>
      </c>
      <c r="P795" s="44" t="s">
        <v>2874</v>
      </c>
    </row>
    <row r="796" spans="2:16" ht="29" x14ac:dyDescent="0.35">
      <c r="B796" s="35" t="s">
        <v>4378</v>
      </c>
      <c r="C796" s="80" t="s">
        <v>4377</v>
      </c>
      <c r="D796" s="36">
        <v>45177</v>
      </c>
      <c r="E796" s="36">
        <v>45264</v>
      </c>
      <c r="F796" s="36">
        <v>47090</v>
      </c>
      <c r="G796" s="64" t="s">
        <v>6</v>
      </c>
      <c r="H796" s="43" t="s">
        <v>647</v>
      </c>
      <c r="I796" s="35" t="s">
        <v>2479</v>
      </c>
      <c r="J796" s="38" t="s">
        <v>4678</v>
      </c>
      <c r="K796" s="38" t="s">
        <v>2586</v>
      </c>
      <c r="L796" s="30">
        <v>137500</v>
      </c>
      <c r="M796" s="30">
        <v>0</v>
      </c>
      <c r="N796" s="30">
        <v>0</v>
      </c>
      <c r="O796" s="30">
        <f t="shared" si="14"/>
        <v>137500</v>
      </c>
      <c r="P796" s="44">
        <v>3.12</v>
      </c>
    </row>
    <row r="797" spans="2:16" ht="29" x14ac:dyDescent="0.35">
      <c r="B797" s="35" t="s">
        <v>4380</v>
      </c>
      <c r="C797" s="80" t="s">
        <v>4379</v>
      </c>
      <c r="D797" s="36">
        <v>45177</v>
      </c>
      <c r="E797" s="36">
        <v>45264</v>
      </c>
      <c r="F797" s="36">
        <v>46359</v>
      </c>
      <c r="G797" s="64" t="s">
        <v>6</v>
      </c>
      <c r="H797" s="43" t="s">
        <v>647</v>
      </c>
      <c r="I797" s="35" t="s">
        <v>2479</v>
      </c>
      <c r="J797" s="38" t="s">
        <v>4678</v>
      </c>
      <c r="K797" s="38" t="s">
        <v>2583</v>
      </c>
      <c r="L797" s="30">
        <v>48000</v>
      </c>
      <c r="M797" s="30">
        <v>0</v>
      </c>
      <c r="N797" s="30">
        <f>16000</f>
        <v>16000</v>
      </c>
      <c r="O797" s="30">
        <f t="shared" si="14"/>
        <v>32000</v>
      </c>
      <c r="P797" s="44">
        <v>3.12</v>
      </c>
    </row>
    <row r="798" spans="2:16" ht="29" x14ac:dyDescent="0.35">
      <c r="B798" s="35" t="s">
        <v>4382</v>
      </c>
      <c r="C798" s="80" t="s">
        <v>4381</v>
      </c>
      <c r="D798" s="36">
        <v>45177</v>
      </c>
      <c r="E798" s="36">
        <v>45264</v>
      </c>
      <c r="F798" s="36">
        <v>46359</v>
      </c>
      <c r="G798" s="64" t="s">
        <v>6</v>
      </c>
      <c r="H798" s="43" t="s">
        <v>647</v>
      </c>
      <c r="I798" s="35" t="s">
        <v>2479</v>
      </c>
      <c r="J798" s="38" t="s">
        <v>4679</v>
      </c>
      <c r="K798" s="38" t="s">
        <v>2583</v>
      </c>
      <c r="L798" s="30">
        <v>22500</v>
      </c>
      <c r="M798" s="30">
        <v>0</v>
      </c>
      <c r="N798" s="30">
        <f>7500</f>
        <v>7500</v>
      </c>
      <c r="O798" s="30">
        <f t="shared" si="14"/>
        <v>15000</v>
      </c>
      <c r="P798" s="44">
        <v>3.55</v>
      </c>
    </row>
    <row r="799" spans="2:16" ht="29" x14ac:dyDescent="0.35">
      <c r="B799" s="35" t="s">
        <v>4384</v>
      </c>
      <c r="C799" s="80" t="s">
        <v>4383</v>
      </c>
      <c r="D799" s="36">
        <v>45177</v>
      </c>
      <c r="E799" s="36">
        <v>45264</v>
      </c>
      <c r="F799" s="36">
        <v>47090</v>
      </c>
      <c r="G799" s="64" t="s">
        <v>6</v>
      </c>
      <c r="H799" s="43" t="s">
        <v>647</v>
      </c>
      <c r="I799" s="35" t="s">
        <v>2479</v>
      </c>
      <c r="J799" s="38" t="s">
        <v>4679</v>
      </c>
      <c r="K799" s="38" t="s">
        <v>2586</v>
      </c>
      <c r="L799" s="30">
        <v>60000</v>
      </c>
      <c r="M799" s="30">
        <v>0</v>
      </c>
      <c r="N799" s="30">
        <v>0</v>
      </c>
      <c r="O799" s="30">
        <f t="shared" si="14"/>
        <v>60000</v>
      </c>
      <c r="P799" s="44">
        <v>3.55</v>
      </c>
    </row>
    <row r="800" spans="2:16" ht="29" x14ac:dyDescent="0.35">
      <c r="B800" s="35" t="s">
        <v>4386</v>
      </c>
      <c r="C800" s="80" t="s">
        <v>4385</v>
      </c>
      <c r="D800" s="36">
        <v>45177</v>
      </c>
      <c r="E800" s="36">
        <v>45264</v>
      </c>
      <c r="F800" s="36">
        <v>47090</v>
      </c>
      <c r="G800" s="64" t="s">
        <v>6</v>
      </c>
      <c r="H800" s="43" t="s">
        <v>647</v>
      </c>
      <c r="I800" s="35" t="s">
        <v>2479</v>
      </c>
      <c r="J800" s="38" t="s">
        <v>4680</v>
      </c>
      <c r="K800" s="38" t="s">
        <v>2586</v>
      </c>
      <c r="L800" s="30">
        <v>90000</v>
      </c>
      <c r="M800" s="30">
        <v>0</v>
      </c>
      <c r="N800" s="30">
        <v>0</v>
      </c>
      <c r="O800" s="30">
        <f t="shared" si="14"/>
        <v>90000</v>
      </c>
      <c r="P800" s="44">
        <v>4.04</v>
      </c>
    </row>
    <row r="801" spans="2:16" ht="29" x14ac:dyDescent="0.35">
      <c r="B801" s="35" t="s">
        <v>4388</v>
      </c>
      <c r="C801" s="80" t="s">
        <v>4387</v>
      </c>
      <c r="D801" s="36">
        <v>45177</v>
      </c>
      <c r="E801" s="36">
        <v>45264</v>
      </c>
      <c r="F801" s="36">
        <v>46359</v>
      </c>
      <c r="G801" s="64" t="s">
        <v>6</v>
      </c>
      <c r="H801" s="43" t="s">
        <v>647</v>
      </c>
      <c r="I801" s="35" t="s">
        <v>2479</v>
      </c>
      <c r="J801" s="38" t="s">
        <v>4680</v>
      </c>
      <c r="K801" s="38" t="s">
        <v>2583</v>
      </c>
      <c r="L801" s="30">
        <v>37500</v>
      </c>
      <c r="M801" s="30">
        <v>0</v>
      </c>
      <c r="N801" s="30">
        <f>12500</f>
        <v>12500</v>
      </c>
      <c r="O801" s="30">
        <f t="shared" si="14"/>
        <v>25000</v>
      </c>
      <c r="P801" s="44">
        <v>4.04</v>
      </c>
    </row>
    <row r="802" spans="2:16" ht="29" x14ac:dyDescent="0.35">
      <c r="B802" s="35" t="s">
        <v>4111</v>
      </c>
      <c r="C802" s="80" t="s">
        <v>4389</v>
      </c>
      <c r="D802" s="36">
        <v>45140</v>
      </c>
      <c r="E802" s="36">
        <v>45264</v>
      </c>
      <c r="F802" s="36">
        <v>45994</v>
      </c>
      <c r="G802" s="64" t="s">
        <v>6</v>
      </c>
      <c r="H802" s="43" t="s">
        <v>4390</v>
      </c>
      <c r="I802" s="35" t="s">
        <v>2529</v>
      </c>
      <c r="J802" s="43" t="s">
        <v>4636</v>
      </c>
      <c r="K802" s="43" t="s">
        <v>3555</v>
      </c>
      <c r="L802" s="30">
        <v>30000</v>
      </c>
      <c r="M802" s="30">
        <v>0</v>
      </c>
      <c r="N802" s="30">
        <f>15683+13645</f>
        <v>29328</v>
      </c>
      <c r="O802" s="30">
        <f t="shared" si="14"/>
        <v>672</v>
      </c>
      <c r="P802" s="43" t="s">
        <v>2874</v>
      </c>
    </row>
    <row r="803" spans="2:16" x14ac:dyDescent="0.35">
      <c r="B803" s="35" t="s">
        <v>4113</v>
      </c>
      <c r="C803" s="80" t="s">
        <v>4391</v>
      </c>
      <c r="D803" s="36">
        <v>45140</v>
      </c>
      <c r="E803" s="36">
        <v>45264</v>
      </c>
      <c r="F803" s="36">
        <v>46359</v>
      </c>
      <c r="G803" s="64" t="s">
        <v>6</v>
      </c>
      <c r="H803" s="43" t="s">
        <v>4392</v>
      </c>
      <c r="I803" s="35" t="s">
        <v>3334</v>
      </c>
      <c r="J803" s="43" t="s">
        <v>4139</v>
      </c>
      <c r="K803" s="43" t="s">
        <v>2573</v>
      </c>
      <c r="L803" s="30">
        <v>876.82</v>
      </c>
      <c r="M803" s="30">
        <v>0</v>
      </c>
      <c r="N803" s="30">
        <v>693.91</v>
      </c>
      <c r="O803" s="30">
        <f t="shared" si="14"/>
        <v>182.91000000000008</v>
      </c>
      <c r="P803" s="43" t="s">
        <v>2874</v>
      </c>
    </row>
    <row r="804" spans="2:16" ht="29" x14ac:dyDescent="0.35">
      <c r="B804" s="35" t="s">
        <v>4111</v>
      </c>
      <c r="C804" s="80" t="s">
        <v>4393</v>
      </c>
      <c r="D804" s="36">
        <v>45140</v>
      </c>
      <c r="E804" s="36">
        <v>45264</v>
      </c>
      <c r="F804" s="36">
        <v>45994</v>
      </c>
      <c r="G804" s="64" t="s">
        <v>6</v>
      </c>
      <c r="H804" s="43" t="s">
        <v>4394</v>
      </c>
      <c r="I804" s="35" t="s">
        <v>2541</v>
      </c>
      <c r="J804" s="43" t="s">
        <v>4681</v>
      </c>
      <c r="K804" s="43" t="s">
        <v>3555</v>
      </c>
      <c r="L804" s="30">
        <v>20000</v>
      </c>
      <c r="M804" s="30">
        <v>0</v>
      </c>
      <c r="N804" s="30">
        <f>3989+8524.84+4497.7</f>
        <v>17011.54</v>
      </c>
      <c r="O804" s="30">
        <f t="shared" si="14"/>
        <v>2988.4599999999991</v>
      </c>
      <c r="P804" s="43" t="s">
        <v>2874</v>
      </c>
    </row>
    <row r="805" spans="2:16" ht="29" x14ac:dyDescent="0.35">
      <c r="B805" s="35" t="s">
        <v>4240</v>
      </c>
      <c r="C805" s="80" t="s">
        <v>4427</v>
      </c>
      <c r="D805" s="36">
        <v>44972</v>
      </c>
      <c r="E805" s="36">
        <v>45265</v>
      </c>
      <c r="F805" s="36">
        <v>47091</v>
      </c>
      <c r="G805" s="64" t="s">
        <v>6</v>
      </c>
      <c r="H805" s="43" t="s">
        <v>4241</v>
      </c>
      <c r="I805" s="35" t="s">
        <v>2480</v>
      </c>
      <c r="J805" s="38" t="s">
        <v>4668</v>
      </c>
      <c r="K805" s="38" t="s">
        <v>2583</v>
      </c>
      <c r="L805" s="30">
        <v>75000</v>
      </c>
      <c r="M805" s="30">
        <v>0</v>
      </c>
      <c r="N805" s="30">
        <v>0</v>
      </c>
      <c r="O805" s="30">
        <f t="shared" si="14"/>
        <v>75000</v>
      </c>
      <c r="P805" s="44">
        <v>6817.18</v>
      </c>
    </row>
    <row r="806" spans="2:16" x14ac:dyDescent="0.35">
      <c r="B806" s="35" t="s">
        <v>4403</v>
      </c>
      <c r="C806" s="80" t="s">
        <v>4402</v>
      </c>
      <c r="D806" s="36">
        <v>44972</v>
      </c>
      <c r="E806" s="36">
        <v>45265</v>
      </c>
      <c r="F806" s="36">
        <v>47091</v>
      </c>
      <c r="G806" s="64" t="s">
        <v>6</v>
      </c>
      <c r="H806" s="43" t="s">
        <v>4241</v>
      </c>
      <c r="I806" s="35" t="s">
        <v>2480</v>
      </c>
      <c r="J806" s="38"/>
      <c r="K806" s="38" t="s">
        <v>2585</v>
      </c>
      <c r="L806" s="30">
        <v>750000</v>
      </c>
      <c r="M806" s="30">
        <v>0</v>
      </c>
      <c r="N806" s="30">
        <v>0</v>
      </c>
      <c r="O806" s="30">
        <f t="shared" si="14"/>
        <v>750000</v>
      </c>
      <c r="P806" s="44">
        <v>6817.18</v>
      </c>
    </row>
    <row r="807" spans="2:16" ht="29" x14ac:dyDescent="0.35">
      <c r="B807" s="35" t="s">
        <v>4399</v>
      </c>
      <c r="C807" s="80" t="s">
        <v>4398</v>
      </c>
      <c r="D807" s="36">
        <v>45061</v>
      </c>
      <c r="E807" s="36">
        <v>45271</v>
      </c>
      <c r="F807" s="36">
        <v>47097</v>
      </c>
      <c r="G807" s="64" t="s">
        <v>6</v>
      </c>
      <c r="H807" s="38" t="s">
        <v>3890</v>
      </c>
      <c r="I807" s="35" t="s">
        <v>2495</v>
      </c>
      <c r="J807" s="38" t="s">
        <v>4524</v>
      </c>
      <c r="K807" s="38" t="s">
        <v>2583</v>
      </c>
      <c r="L807" s="30">
        <v>1087500</v>
      </c>
      <c r="M807" s="30">
        <v>0</v>
      </c>
      <c r="N807" s="30">
        <f>440000</f>
        <v>440000</v>
      </c>
      <c r="O807" s="30">
        <f t="shared" si="14"/>
        <v>647500</v>
      </c>
      <c r="P807" s="44">
        <v>2.0099999999999998</v>
      </c>
    </row>
    <row r="808" spans="2:16" ht="29" x14ac:dyDescent="0.35">
      <c r="B808" s="35" t="s">
        <v>4401</v>
      </c>
      <c r="C808" s="80" t="s">
        <v>4400</v>
      </c>
      <c r="D808" s="36">
        <v>45061</v>
      </c>
      <c r="E808" s="36">
        <v>45271</v>
      </c>
      <c r="F808" s="36">
        <v>47097</v>
      </c>
      <c r="G808" s="64" t="s">
        <v>6</v>
      </c>
      <c r="H808" s="38" t="s">
        <v>3890</v>
      </c>
      <c r="I808" s="35" t="s">
        <v>2495</v>
      </c>
      <c r="J808" s="38" t="s">
        <v>4524</v>
      </c>
      <c r="K808" s="38" t="s">
        <v>2586</v>
      </c>
      <c r="L808" s="30">
        <v>25000000</v>
      </c>
      <c r="M808" s="30">
        <v>0</v>
      </c>
      <c r="N808" s="30">
        <v>0</v>
      </c>
      <c r="O808" s="30">
        <f t="shared" si="14"/>
        <v>25000000</v>
      </c>
      <c r="P808" s="44">
        <v>2.0099999999999998</v>
      </c>
    </row>
    <row r="809" spans="2:16" ht="43.5" x14ac:dyDescent="0.35">
      <c r="B809" s="35" t="s">
        <v>4407</v>
      </c>
      <c r="C809" s="80" t="s">
        <v>4406</v>
      </c>
      <c r="D809" s="36">
        <v>45061</v>
      </c>
      <c r="E809" s="36">
        <v>45272</v>
      </c>
      <c r="F809" s="36">
        <v>46367</v>
      </c>
      <c r="G809" s="64" t="s">
        <v>6</v>
      </c>
      <c r="H809" s="43" t="s">
        <v>197</v>
      </c>
      <c r="I809" s="35" t="s">
        <v>2507</v>
      </c>
      <c r="J809" s="38" t="s">
        <v>4424</v>
      </c>
      <c r="K809" s="38" t="s">
        <v>2583</v>
      </c>
      <c r="L809" s="30">
        <v>140000</v>
      </c>
      <c r="M809" s="30">
        <v>0</v>
      </c>
      <c r="N809" s="30">
        <v>0</v>
      </c>
      <c r="O809" s="30">
        <f t="shared" si="14"/>
        <v>140000</v>
      </c>
      <c r="P809" s="44">
        <v>8.36</v>
      </c>
    </row>
    <row r="810" spans="2:16" ht="43.5" x14ac:dyDescent="0.35">
      <c r="B810" s="35" t="s">
        <v>4409</v>
      </c>
      <c r="C810" s="80" t="s">
        <v>4408</v>
      </c>
      <c r="D810" s="36">
        <v>45061</v>
      </c>
      <c r="E810" s="36">
        <v>45272</v>
      </c>
      <c r="F810" s="36">
        <v>46367</v>
      </c>
      <c r="G810" s="64" t="s">
        <v>5683</v>
      </c>
      <c r="H810" s="43" t="s">
        <v>197</v>
      </c>
      <c r="I810" s="35" t="s">
        <v>2521</v>
      </c>
      <c r="J810" s="38" t="s">
        <v>4425</v>
      </c>
      <c r="K810" s="38" t="s">
        <v>2583</v>
      </c>
      <c r="L810" s="30">
        <v>100000</v>
      </c>
      <c r="M810" s="30">
        <v>33333</v>
      </c>
      <c r="N810" s="30">
        <v>66667</v>
      </c>
      <c r="O810" s="30">
        <f t="shared" si="14"/>
        <v>0</v>
      </c>
      <c r="P810" s="44" t="s">
        <v>6675</v>
      </c>
    </row>
    <row r="811" spans="2:16" ht="58" x14ac:dyDescent="0.35">
      <c r="B811" s="35" t="s">
        <v>4411</v>
      </c>
      <c r="C811" s="80" t="s">
        <v>4410</v>
      </c>
      <c r="D811" s="36">
        <v>45061</v>
      </c>
      <c r="E811" s="36">
        <v>45272</v>
      </c>
      <c r="F811" s="36">
        <v>46367</v>
      </c>
      <c r="G811" s="64" t="s">
        <v>5683</v>
      </c>
      <c r="H811" s="43" t="s">
        <v>197</v>
      </c>
      <c r="I811" s="35" t="s">
        <v>2535</v>
      </c>
      <c r="J811" s="38" t="s">
        <v>4426</v>
      </c>
      <c r="K811" s="38" t="s">
        <v>2583</v>
      </c>
      <c r="L811" s="30">
        <v>150000</v>
      </c>
      <c r="M811" s="30">
        <v>50000</v>
      </c>
      <c r="N811" s="30">
        <v>100000</v>
      </c>
      <c r="O811" s="30">
        <f t="shared" si="14"/>
        <v>0</v>
      </c>
      <c r="P811" s="44" t="s">
        <v>6676</v>
      </c>
    </row>
    <row r="812" spans="2:16" ht="29" x14ac:dyDescent="0.35">
      <c r="B812" s="35" t="s">
        <v>4089</v>
      </c>
      <c r="C812" s="80" t="s">
        <v>4412</v>
      </c>
      <c r="D812" s="36">
        <v>45140</v>
      </c>
      <c r="E812" s="36">
        <v>45272</v>
      </c>
      <c r="F812" s="36">
        <v>45473</v>
      </c>
      <c r="G812" s="64" t="s">
        <v>5683</v>
      </c>
      <c r="H812" s="43" t="s">
        <v>68</v>
      </c>
      <c r="I812" s="35" t="s">
        <v>2498</v>
      </c>
      <c r="J812" s="43" t="s">
        <v>4457</v>
      </c>
      <c r="K812" s="43" t="s">
        <v>2573</v>
      </c>
      <c r="L812" s="30">
        <v>4910</v>
      </c>
      <c r="M812" s="30">
        <v>49</v>
      </c>
      <c r="N812" s="30">
        <v>4861</v>
      </c>
      <c r="O812" s="30">
        <f t="shared" si="14"/>
        <v>0</v>
      </c>
      <c r="P812" s="43" t="s">
        <v>6515</v>
      </c>
    </row>
    <row r="813" spans="2:16" ht="29" x14ac:dyDescent="0.35">
      <c r="B813" s="35" t="s">
        <v>4111</v>
      </c>
      <c r="C813" s="80" t="s">
        <v>4404</v>
      </c>
      <c r="D813" s="36">
        <v>45140</v>
      </c>
      <c r="E813" s="36">
        <v>45273</v>
      </c>
      <c r="F813" s="36">
        <v>46003</v>
      </c>
      <c r="G813" s="64" t="s">
        <v>6</v>
      </c>
      <c r="H813" s="43" t="s">
        <v>4405</v>
      </c>
      <c r="I813" s="35" t="s">
        <v>2480</v>
      </c>
      <c r="J813" s="43" t="s">
        <v>3806</v>
      </c>
      <c r="K813" s="43" t="s">
        <v>3555</v>
      </c>
      <c r="L813" s="30">
        <v>30000</v>
      </c>
      <c r="M813" s="30">
        <v>0</v>
      </c>
      <c r="N813" s="30">
        <v>0</v>
      </c>
      <c r="O813" s="30">
        <f t="shared" si="14"/>
        <v>30000</v>
      </c>
      <c r="P813" s="43" t="s">
        <v>2874</v>
      </c>
    </row>
    <row r="814" spans="2:16" x14ac:dyDescent="0.35">
      <c r="B814" s="35" t="s">
        <v>4113</v>
      </c>
      <c r="C814" s="80" t="s">
        <v>4413</v>
      </c>
      <c r="D814" s="36">
        <v>45140</v>
      </c>
      <c r="E814" s="36">
        <v>45274</v>
      </c>
      <c r="F814" s="36">
        <v>46369</v>
      </c>
      <c r="G814" s="64" t="s">
        <v>6</v>
      </c>
      <c r="H814" s="43" t="s">
        <v>4414</v>
      </c>
      <c r="I814" s="35" t="s">
        <v>2492</v>
      </c>
      <c r="J814" s="43" t="s">
        <v>4141</v>
      </c>
      <c r="K814" s="43" t="s">
        <v>2573</v>
      </c>
      <c r="L814" s="30">
        <v>897</v>
      </c>
      <c r="M814" s="30">
        <v>0</v>
      </c>
      <c r="N814" s="30">
        <v>897</v>
      </c>
      <c r="O814" s="30">
        <f t="shared" si="14"/>
        <v>0</v>
      </c>
      <c r="P814" s="43" t="s">
        <v>2874</v>
      </c>
    </row>
    <row r="815" spans="2:16" ht="58" x14ac:dyDescent="0.35">
      <c r="B815" s="35" t="s">
        <v>4416</v>
      </c>
      <c r="C815" s="80" t="s">
        <v>4415</v>
      </c>
      <c r="D815" s="36">
        <v>44972</v>
      </c>
      <c r="E815" s="36">
        <v>45275</v>
      </c>
      <c r="F815" s="36">
        <v>46370</v>
      </c>
      <c r="G815" s="64" t="s">
        <v>6</v>
      </c>
      <c r="H815" s="43" t="s">
        <v>4417</v>
      </c>
      <c r="I815" s="35" t="s">
        <v>2473</v>
      </c>
      <c r="J815" s="38" t="s">
        <v>4459</v>
      </c>
      <c r="K815" s="38" t="s">
        <v>2583</v>
      </c>
      <c r="L815" s="30">
        <v>4687.5</v>
      </c>
      <c r="M815" s="30">
        <v>0</v>
      </c>
      <c r="N815" s="30">
        <v>0</v>
      </c>
      <c r="O815" s="30">
        <f t="shared" si="14"/>
        <v>4687.5</v>
      </c>
      <c r="P815" s="44">
        <v>8.8000000000000007</v>
      </c>
    </row>
    <row r="816" spans="2:16" ht="58" x14ac:dyDescent="0.35">
      <c r="B816" s="35" t="s">
        <v>4419</v>
      </c>
      <c r="C816" s="80" t="s">
        <v>4418</v>
      </c>
      <c r="D816" s="36">
        <v>44972</v>
      </c>
      <c r="E816" s="36">
        <v>45275</v>
      </c>
      <c r="F816" s="36">
        <v>47101</v>
      </c>
      <c r="G816" s="64" t="s">
        <v>6</v>
      </c>
      <c r="H816" s="43" t="s">
        <v>4417</v>
      </c>
      <c r="I816" s="35" t="s">
        <v>2473</v>
      </c>
      <c r="J816" s="38" t="s">
        <v>4459</v>
      </c>
      <c r="K816" s="38" t="s">
        <v>2586</v>
      </c>
      <c r="L816" s="30">
        <v>84742</v>
      </c>
      <c r="M816" s="30">
        <v>0</v>
      </c>
      <c r="N816" s="30">
        <v>42731</v>
      </c>
      <c r="O816" s="30">
        <f t="shared" si="14"/>
        <v>42011</v>
      </c>
      <c r="P816" s="44">
        <v>8.8000000000000007</v>
      </c>
    </row>
    <row r="817" spans="2:16" ht="29" x14ac:dyDescent="0.35">
      <c r="B817" s="35" t="s">
        <v>4111</v>
      </c>
      <c r="C817" s="80" t="s">
        <v>4420</v>
      </c>
      <c r="D817" s="36">
        <v>45140</v>
      </c>
      <c r="E817" s="36">
        <v>45279</v>
      </c>
      <c r="F817" s="36">
        <v>46009</v>
      </c>
      <c r="G817" s="64" t="s">
        <v>6</v>
      </c>
      <c r="H817" s="43" t="s">
        <v>4421</v>
      </c>
      <c r="I817" s="35" t="s">
        <v>2480</v>
      </c>
      <c r="J817" s="43" t="s">
        <v>4458</v>
      </c>
      <c r="K817" s="43" t="s">
        <v>3555</v>
      </c>
      <c r="L817" s="30">
        <v>28000</v>
      </c>
      <c r="M817" s="30">
        <v>0</v>
      </c>
      <c r="N817" s="30">
        <f>20000+2399.95</f>
        <v>22399.95</v>
      </c>
      <c r="O817" s="30">
        <f t="shared" si="14"/>
        <v>5600.0499999999993</v>
      </c>
      <c r="P817" s="43" t="s">
        <v>2874</v>
      </c>
    </row>
    <row r="818" spans="2:16" ht="29" x14ac:dyDescent="0.35">
      <c r="B818" s="35" t="s">
        <v>3785</v>
      </c>
      <c r="C818" s="80" t="s">
        <v>4236</v>
      </c>
      <c r="D818" s="36">
        <v>44027</v>
      </c>
      <c r="E818" s="36">
        <v>45280</v>
      </c>
      <c r="F818" s="36">
        <v>46902</v>
      </c>
      <c r="G818" s="64" t="s">
        <v>6</v>
      </c>
      <c r="H818" s="43" t="s">
        <v>3281</v>
      </c>
      <c r="I818" s="35" t="s">
        <v>2534</v>
      </c>
      <c r="J818" s="43" t="s">
        <v>4637</v>
      </c>
      <c r="K818" s="43" t="s">
        <v>3336</v>
      </c>
      <c r="L818" s="30">
        <v>14066.25</v>
      </c>
      <c r="M818" s="30">
        <v>0</v>
      </c>
      <c r="N818" s="30">
        <v>14066.25</v>
      </c>
      <c r="O818" s="30">
        <f t="shared" si="14"/>
        <v>0</v>
      </c>
      <c r="P818" s="44" t="s">
        <v>2874</v>
      </c>
    </row>
    <row r="819" spans="2:16" ht="29" x14ac:dyDescent="0.35">
      <c r="B819" s="35" t="s">
        <v>4111</v>
      </c>
      <c r="C819" s="80" t="s">
        <v>4738</v>
      </c>
      <c r="D819" s="36">
        <v>45140</v>
      </c>
      <c r="E819" s="36">
        <v>45281</v>
      </c>
      <c r="F819" s="36">
        <v>46011</v>
      </c>
      <c r="G819" s="64" t="s">
        <v>6</v>
      </c>
      <c r="H819" s="43" t="s">
        <v>4739</v>
      </c>
      <c r="I819" s="35" t="s">
        <v>2474</v>
      </c>
      <c r="J819" s="43" t="s">
        <v>4744</v>
      </c>
      <c r="K819" s="43" t="s">
        <v>3555</v>
      </c>
      <c r="L819" s="30">
        <v>7221</v>
      </c>
      <c r="M819" s="30">
        <v>0</v>
      </c>
      <c r="N819" s="30">
        <v>0</v>
      </c>
      <c r="O819" s="30">
        <f t="shared" si="14"/>
        <v>7221</v>
      </c>
      <c r="P819" s="43" t="s">
        <v>2874</v>
      </c>
    </row>
    <row r="820" spans="2:16" s="54" customFormat="1" ht="29" x14ac:dyDescent="0.35">
      <c r="B820" s="35" t="s">
        <v>4111</v>
      </c>
      <c r="C820" s="80" t="s">
        <v>4737</v>
      </c>
      <c r="D820" s="36">
        <v>45140</v>
      </c>
      <c r="E820" s="36">
        <v>45281</v>
      </c>
      <c r="F820" s="36">
        <v>46011</v>
      </c>
      <c r="G820" s="64" t="s">
        <v>6</v>
      </c>
      <c r="H820" s="43" t="s">
        <v>4740</v>
      </c>
      <c r="I820" s="35" t="s">
        <v>2515</v>
      </c>
      <c r="J820" s="43" t="s">
        <v>4745</v>
      </c>
      <c r="K820" s="43" t="s">
        <v>3555</v>
      </c>
      <c r="L820" s="30">
        <v>10000</v>
      </c>
      <c r="M820" s="30">
        <v>0</v>
      </c>
      <c r="N820" s="30">
        <v>925</v>
      </c>
      <c r="O820" s="30">
        <f t="shared" si="14"/>
        <v>9075</v>
      </c>
      <c r="P820" s="43" t="s">
        <v>2874</v>
      </c>
    </row>
    <row r="821" spans="2:16" s="54" customFormat="1" ht="29" x14ac:dyDescent="0.35">
      <c r="B821" s="35" t="s">
        <v>4113</v>
      </c>
      <c r="C821" s="80" t="s">
        <v>4736</v>
      </c>
      <c r="D821" s="36">
        <v>45140</v>
      </c>
      <c r="E821" s="36">
        <v>45282</v>
      </c>
      <c r="F821" s="36">
        <v>46376</v>
      </c>
      <c r="G821" s="64" t="s">
        <v>5683</v>
      </c>
      <c r="H821" s="43" t="s">
        <v>4741</v>
      </c>
      <c r="I821" s="35" t="s">
        <v>3491</v>
      </c>
      <c r="J821" s="43" t="s">
        <v>4139</v>
      </c>
      <c r="K821" s="43" t="s">
        <v>2573</v>
      </c>
      <c r="L821" s="30">
        <v>852</v>
      </c>
      <c r="M821" s="30">
        <v>13.52</v>
      </c>
      <c r="N821" s="30">
        <v>838.48</v>
      </c>
      <c r="O821" s="30">
        <f t="shared" si="14"/>
        <v>0</v>
      </c>
      <c r="P821" s="43" t="s">
        <v>6515</v>
      </c>
    </row>
    <row r="822" spans="2:16" s="54" customFormat="1" ht="29" x14ac:dyDescent="0.35">
      <c r="B822" s="35" t="s">
        <v>4732</v>
      </c>
      <c r="C822" s="80" t="s">
        <v>4735</v>
      </c>
      <c r="D822" s="36">
        <v>44972</v>
      </c>
      <c r="E822" s="36">
        <v>45282</v>
      </c>
      <c r="F822" s="36">
        <v>47108</v>
      </c>
      <c r="G822" s="64" t="s">
        <v>5683</v>
      </c>
      <c r="H822" s="43" t="s">
        <v>4742</v>
      </c>
      <c r="I822" s="35" t="s">
        <v>2493</v>
      </c>
      <c r="J822" s="43" t="s">
        <v>4747</v>
      </c>
      <c r="K822" s="43" t="s">
        <v>2583</v>
      </c>
      <c r="L822" s="30">
        <v>660000</v>
      </c>
      <c r="M822" s="30">
        <v>548400</v>
      </c>
      <c r="N822" s="30">
        <f>111600</f>
        <v>111600</v>
      </c>
      <c r="O822" s="30">
        <f t="shared" si="14"/>
        <v>0</v>
      </c>
      <c r="P822" s="44" t="s">
        <v>6247</v>
      </c>
    </row>
    <row r="823" spans="2:16" s="54" customFormat="1" x14ac:dyDescent="0.35">
      <c r="B823" s="35" t="s">
        <v>4731</v>
      </c>
      <c r="C823" s="80" t="s">
        <v>4734</v>
      </c>
      <c r="D823" s="36">
        <v>44972</v>
      </c>
      <c r="E823" s="36">
        <v>45282</v>
      </c>
      <c r="F823" s="36">
        <v>47108</v>
      </c>
      <c r="G823" s="64" t="s">
        <v>6</v>
      </c>
      <c r="H823" s="43" t="s">
        <v>4742</v>
      </c>
      <c r="I823" s="35" t="s">
        <v>2493</v>
      </c>
      <c r="J823" s="43" t="s">
        <v>4747</v>
      </c>
      <c r="K823" s="43" t="s">
        <v>2586</v>
      </c>
      <c r="L823" s="30">
        <v>3500000</v>
      </c>
      <c r="M823" s="30">
        <v>0</v>
      </c>
      <c r="N823" s="30">
        <f>2924506.78</f>
        <v>2924506.78</v>
      </c>
      <c r="O823" s="30">
        <f t="shared" si="14"/>
        <v>575493.2200000002</v>
      </c>
      <c r="P823" s="44">
        <v>2.39</v>
      </c>
    </row>
    <row r="824" spans="2:16" s="54" customFormat="1" ht="29" x14ac:dyDescent="0.35">
      <c r="B824" s="35" t="s">
        <v>4730</v>
      </c>
      <c r="C824" s="80" t="s">
        <v>4733</v>
      </c>
      <c r="D824" s="36">
        <v>45275</v>
      </c>
      <c r="E824" s="36">
        <v>45282</v>
      </c>
      <c r="F824" s="36">
        <v>47108</v>
      </c>
      <c r="G824" s="64" t="s">
        <v>5683</v>
      </c>
      <c r="H824" s="43" t="s">
        <v>4726</v>
      </c>
      <c r="I824" s="35" t="s">
        <v>2493</v>
      </c>
      <c r="J824" s="43" t="s">
        <v>4748</v>
      </c>
      <c r="K824" s="43" t="s">
        <v>2583</v>
      </c>
      <c r="L824" s="30">
        <v>160000</v>
      </c>
      <c r="M824" s="30">
        <v>160000</v>
      </c>
      <c r="N824" s="30">
        <v>0</v>
      </c>
      <c r="O824" s="30">
        <f t="shared" si="14"/>
        <v>0</v>
      </c>
      <c r="P824" s="44" t="s">
        <v>6795</v>
      </c>
    </row>
    <row r="825" spans="2:16" s="54" customFormat="1" ht="29" x14ac:dyDescent="0.35">
      <c r="B825" s="35" t="s">
        <v>4729</v>
      </c>
      <c r="C825" s="80" t="s">
        <v>6358</v>
      </c>
      <c r="D825" s="36">
        <v>45639</v>
      </c>
      <c r="E825" s="36">
        <v>45639</v>
      </c>
      <c r="F825" s="36">
        <v>46377</v>
      </c>
      <c r="G825" s="64" t="s">
        <v>5683</v>
      </c>
      <c r="H825" s="43" t="s">
        <v>4726</v>
      </c>
      <c r="I825" s="35" t="s">
        <v>2493</v>
      </c>
      <c r="J825" s="43" t="s">
        <v>4748</v>
      </c>
      <c r="K825" s="43" t="s">
        <v>5784</v>
      </c>
      <c r="L825" s="30">
        <v>1500000</v>
      </c>
      <c r="M825" s="30">
        <v>0</v>
      </c>
      <c r="N825" s="30">
        <f>1125000+375000</f>
        <v>1500000</v>
      </c>
      <c r="O825" s="30">
        <f t="shared" si="14"/>
        <v>0</v>
      </c>
      <c r="P825" s="44" t="s">
        <v>6796</v>
      </c>
    </row>
    <row r="826" spans="2:16" s="54" customFormat="1" ht="29" x14ac:dyDescent="0.35">
      <c r="B826" s="35" t="s">
        <v>4111</v>
      </c>
      <c r="C826" s="80" t="s">
        <v>4690</v>
      </c>
      <c r="D826" s="36">
        <v>45140</v>
      </c>
      <c r="E826" s="36">
        <v>45299</v>
      </c>
      <c r="F826" s="36">
        <v>46029</v>
      </c>
      <c r="G826" s="64" t="s">
        <v>6</v>
      </c>
      <c r="H826" s="43" t="s">
        <v>4701</v>
      </c>
      <c r="I826" s="35" t="s">
        <v>2492</v>
      </c>
      <c r="J826" s="43" t="s">
        <v>4703</v>
      </c>
      <c r="K826" s="43" t="s">
        <v>3555</v>
      </c>
      <c r="L826" s="30">
        <v>24270</v>
      </c>
      <c r="M826" s="30">
        <v>0</v>
      </c>
      <c r="N826" s="30">
        <f>16134.58</f>
        <v>16134.58</v>
      </c>
      <c r="O826" s="30">
        <f t="shared" si="14"/>
        <v>8135.42</v>
      </c>
      <c r="P826" s="43" t="s">
        <v>2874</v>
      </c>
    </row>
    <row r="827" spans="2:16" s="54" customFormat="1" ht="29" x14ac:dyDescent="0.35">
      <c r="B827" s="35" t="s">
        <v>4111</v>
      </c>
      <c r="C827" s="80" t="s">
        <v>4691</v>
      </c>
      <c r="D827" s="36">
        <v>45140</v>
      </c>
      <c r="E827" s="36">
        <v>45299</v>
      </c>
      <c r="F827" s="36">
        <v>46029</v>
      </c>
      <c r="G827" s="64" t="s">
        <v>6</v>
      </c>
      <c r="H827" s="43" t="s">
        <v>4700</v>
      </c>
      <c r="I827" s="35" t="s">
        <v>2480</v>
      </c>
      <c r="J827" s="43" t="s">
        <v>3354</v>
      </c>
      <c r="K827" s="43" t="s">
        <v>3555</v>
      </c>
      <c r="L827" s="30">
        <v>17200</v>
      </c>
      <c r="M827" s="30">
        <v>0</v>
      </c>
      <c r="N827" s="30">
        <f>4300+8600</f>
        <v>12900</v>
      </c>
      <c r="O827" s="30">
        <f t="shared" si="14"/>
        <v>4300</v>
      </c>
      <c r="P827" s="43" t="s">
        <v>2874</v>
      </c>
    </row>
    <row r="828" spans="2:16" s="54" customFormat="1" ht="29" x14ac:dyDescent="0.35">
      <c r="B828" s="35" t="s">
        <v>4111</v>
      </c>
      <c r="C828" s="80" t="s">
        <v>4692</v>
      </c>
      <c r="D828" s="36">
        <v>45140</v>
      </c>
      <c r="E828" s="36">
        <v>45299</v>
      </c>
      <c r="F828" s="36">
        <v>46029</v>
      </c>
      <c r="G828" s="64" t="s">
        <v>6</v>
      </c>
      <c r="H828" s="43" t="s">
        <v>4699</v>
      </c>
      <c r="I828" s="35" t="s">
        <v>4702</v>
      </c>
      <c r="J828" s="43" t="s">
        <v>4704</v>
      </c>
      <c r="K828" s="43" t="s">
        <v>3555</v>
      </c>
      <c r="L828" s="30">
        <v>4850</v>
      </c>
      <c r="M828" s="30">
        <v>0</v>
      </c>
      <c r="N828" s="30">
        <v>0</v>
      </c>
      <c r="O828" s="30">
        <f t="shared" si="14"/>
        <v>4850</v>
      </c>
      <c r="P828" s="43" t="s">
        <v>2874</v>
      </c>
    </row>
    <row r="829" spans="2:16" s="54" customFormat="1" ht="29" x14ac:dyDescent="0.35">
      <c r="B829" s="35" t="s">
        <v>4111</v>
      </c>
      <c r="C829" s="80" t="s">
        <v>4687</v>
      </c>
      <c r="D829" s="36">
        <v>45140</v>
      </c>
      <c r="E829" s="36">
        <v>45300</v>
      </c>
      <c r="F829" s="36">
        <v>46030</v>
      </c>
      <c r="G829" s="64" t="s">
        <v>6</v>
      </c>
      <c r="H829" s="43" t="s">
        <v>4698</v>
      </c>
      <c r="I829" s="35" t="s">
        <v>2492</v>
      </c>
      <c r="J829" s="43" t="s">
        <v>3354</v>
      </c>
      <c r="K829" s="43" t="s">
        <v>3555</v>
      </c>
      <c r="L829" s="30">
        <v>40000</v>
      </c>
      <c r="M829" s="30">
        <v>0</v>
      </c>
      <c r="N829" s="30">
        <f>8000</f>
        <v>8000</v>
      </c>
      <c r="O829" s="30">
        <f t="shared" si="14"/>
        <v>32000</v>
      </c>
      <c r="P829" s="43" t="s">
        <v>2874</v>
      </c>
    </row>
    <row r="830" spans="2:16" s="54" customFormat="1" ht="29" x14ac:dyDescent="0.35">
      <c r="B830" s="35" t="s">
        <v>4111</v>
      </c>
      <c r="C830" s="80" t="s">
        <v>4688</v>
      </c>
      <c r="D830" s="36">
        <v>45140</v>
      </c>
      <c r="E830" s="36">
        <v>45300</v>
      </c>
      <c r="F830" s="36">
        <v>46030</v>
      </c>
      <c r="G830" s="64" t="s">
        <v>5683</v>
      </c>
      <c r="H830" s="43" t="s">
        <v>4697</v>
      </c>
      <c r="I830" s="35" t="s">
        <v>2480</v>
      </c>
      <c r="J830" s="43" t="s">
        <v>4705</v>
      </c>
      <c r="K830" s="43" t="s">
        <v>3555</v>
      </c>
      <c r="L830" s="30">
        <v>4106</v>
      </c>
      <c r="M830" s="30">
        <v>10</v>
      </c>
      <c r="N830" s="30">
        <v>4096</v>
      </c>
      <c r="O830" s="30">
        <f t="shared" si="14"/>
        <v>0</v>
      </c>
      <c r="P830" s="43" t="s">
        <v>6515</v>
      </c>
    </row>
    <row r="831" spans="2:16" s="54" customFormat="1" ht="29" x14ac:dyDescent="0.35">
      <c r="B831" s="35" t="s">
        <v>4111</v>
      </c>
      <c r="C831" s="80" t="s">
        <v>4689</v>
      </c>
      <c r="D831" s="36">
        <v>45140</v>
      </c>
      <c r="E831" s="36">
        <v>45300</v>
      </c>
      <c r="F831" s="36">
        <v>46030</v>
      </c>
      <c r="G831" s="64" t="s">
        <v>6</v>
      </c>
      <c r="H831" s="43" t="s">
        <v>4696</v>
      </c>
      <c r="I831" s="35" t="s">
        <v>2480</v>
      </c>
      <c r="J831" s="43" t="s">
        <v>4706</v>
      </c>
      <c r="K831" s="43" t="s">
        <v>3555</v>
      </c>
      <c r="L831" s="30">
        <v>8700</v>
      </c>
      <c r="M831" s="30">
        <v>0</v>
      </c>
      <c r="N831" s="30">
        <v>0</v>
      </c>
      <c r="O831" s="30">
        <f t="shared" si="14"/>
        <v>8700</v>
      </c>
      <c r="P831" s="43" t="s">
        <v>2874</v>
      </c>
    </row>
    <row r="832" spans="2:16" s="54" customFormat="1" x14ac:dyDescent="0.35">
      <c r="B832" s="35" t="s">
        <v>4712</v>
      </c>
      <c r="C832" s="80" t="s">
        <v>4713</v>
      </c>
      <c r="D832" s="36">
        <v>45177</v>
      </c>
      <c r="E832" s="36">
        <v>45302</v>
      </c>
      <c r="F832" s="36">
        <v>46397</v>
      </c>
      <c r="G832" s="64" t="s">
        <v>6</v>
      </c>
      <c r="H832" s="43" t="s">
        <v>1287</v>
      </c>
      <c r="I832" s="35" t="s">
        <v>2484</v>
      </c>
      <c r="J832" s="43" t="s">
        <v>4749</v>
      </c>
      <c r="K832" s="43" t="s">
        <v>2583</v>
      </c>
      <c r="L832" s="30">
        <v>3000</v>
      </c>
      <c r="M832" s="30">
        <v>0</v>
      </c>
      <c r="N832" s="30">
        <v>0</v>
      </c>
      <c r="O832" s="30">
        <f t="shared" si="14"/>
        <v>3000</v>
      </c>
      <c r="P832" s="44">
        <v>6.6</v>
      </c>
    </row>
    <row r="833" spans="2:16" s="54" customFormat="1" x14ac:dyDescent="0.35">
      <c r="B833" s="35" t="s">
        <v>5562</v>
      </c>
      <c r="C833" s="80" t="s">
        <v>5563</v>
      </c>
      <c r="D833" s="36">
        <v>45461</v>
      </c>
      <c r="E833" s="36">
        <v>45302</v>
      </c>
      <c r="F833" s="36">
        <v>47128</v>
      </c>
      <c r="G833" s="64" t="s">
        <v>6</v>
      </c>
      <c r="H833" s="35" t="s">
        <v>5564</v>
      </c>
      <c r="I833" s="35" t="s">
        <v>2491</v>
      </c>
      <c r="J833" s="43" t="s">
        <v>5074</v>
      </c>
      <c r="K833" s="43" t="s">
        <v>2583</v>
      </c>
      <c r="L833" s="30">
        <v>35000</v>
      </c>
      <c r="M833" s="30">
        <v>0</v>
      </c>
      <c r="N833" s="30">
        <v>0</v>
      </c>
      <c r="O833" s="30">
        <f t="shared" si="14"/>
        <v>35000</v>
      </c>
      <c r="P833" s="44">
        <v>1.23</v>
      </c>
    </row>
    <row r="834" spans="2:16" s="54" customFormat="1" ht="29" x14ac:dyDescent="0.35">
      <c r="B834" s="35" t="s">
        <v>4111</v>
      </c>
      <c r="C834" s="80" t="s">
        <v>4686</v>
      </c>
      <c r="D834" s="36">
        <v>45140</v>
      </c>
      <c r="E834" s="36">
        <v>45303</v>
      </c>
      <c r="F834" s="36">
        <v>46033</v>
      </c>
      <c r="G834" s="64" t="s">
        <v>6</v>
      </c>
      <c r="H834" s="43" t="s">
        <v>4695</v>
      </c>
      <c r="I834" s="35" t="s">
        <v>2491</v>
      </c>
      <c r="J834" s="43" t="s">
        <v>4707</v>
      </c>
      <c r="K834" s="43" t="s">
        <v>3555</v>
      </c>
      <c r="L834" s="30">
        <v>15000</v>
      </c>
      <c r="M834" s="30">
        <v>0</v>
      </c>
      <c r="N834" s="30">
        <v>0</v>
      </c>
      <c r="O834" s="30">
        <f t="shared" si="14"/>
        <v>15000</v>
      </c>
      <c r="P834" s="43" t="s">
        <v>2874</v>
      </c>
    </row>
    <row r="835" spans="2:16" s="54" customFormat="1" x14ac:dyDescent="0.35">
      <c r="B835" s="35" t="s">
        <v>4096</v>
      </c>
      <c r="C835" s="80" t="s">
        <v>5434</v>
      </c>
      <c r="D835" s="36">
        <v>45140</v>
      </c>
      <c r="E835" s="36">
        <v>45307</v>
      </c>
      <c r="F835" s="36">
        <v>45473</v>
      </c>
      <c r="G835" s="64" t="s">
        <v>6</v>
      </c>
      <c r="H835" s="35" t="s">
        <v>5435</v>
      </c>
      <c r="I835" s="35" t="s">
        <v>3491</v>
      </c>
      <c r="J835" s="43" t="s">
        <v>5544</v>
      </c>
      <c r="K835" s="43" t="s">
        <v>3181</v>
      </c>
      <c r="L835" s="30">
        <v>56000</v>
      </c>
      <c r="M835" s="30">
        <v>0</v>
      </c>
      <c r="N835" s="30">
        <f>56000</f>
        <v>56000</v>
      </c>
      <c r="O835" s="30">
        <f t="shared" si="14"/>
        <v>0</v>
      </c>
      <c r="P835" s="44" t="s">
        <v>2874</v>
      </c>
    </row>
    <row r="836" spans="2:16" s="54" customFormat="1" x14ac:dyDescent="0.35">
      <c r="B836" s="35" t="s">
        <v>4096</v>
      </c>
      <c r="C836" s="80" t="s">
        <v>4714</v>
      </c>
      <c r="D836" s="36">
        <v>45140</v>
      </c>
      <c r="E836" s="36">
        <v>45307</v>
      </c>
      <c r="F836" s="36">
        <v>45473</v>
      </c>
      <c r="G836" s="64" t="s">
        <v>6</v>
      </c>
      <c r="H836" s="43" t="s">
        <v>3868</v>
      </c>
      <c r="I836" s="35" t="s">
        <v>2529</v>
      </c>
      <c r="J836" s="43" t="s">
        <v>4743</v>
      </c>
      <c r="K836" s="43" t="s">
        <v>3181</v>
      </c>
      <c r="L836" s="30">
        <v>15000</v>
      </c>
      <c r="M836" s="30">
        <v>0</v>
      </c>
      <c r="N836" s="30">
        <v>0</v>
      </c>
      <c r="O836" s="30">
        <f t="shared" si="14"/>
        <v>15000</v>
      </c>
      <c r="P836" s="44" t="s">
        <v>2874</v>
      </c>
    </row>
    <row r="837" spans="2:16" s="54" customFormat="1" x14ac:dyDescent="0.35">
      <c r="B837" s="35" t="s">
        <v>4685</v>
      </c>
      <c r="C837" s="80" t="s">
        <v>4684</v>
      </c>
      <c r="D837" s="36">
        <v>45239</v>
      </c>
      <c r="E837" s="36">
        <v>45308</v>
      </c>
      <c r="F837" s="36">
        <v>45673</v>
      </c>
      <c r="G837" s="64" t="s">
        <v>6</v>
      </c>
      <c r="H837" s="43" t="s">
        <v>4694</v>
      </c>
      <c r="I837" s="35" t="s">
        <v>2491</v>
      </c>
      <c r="J837" s="43" t="s">
        <v>4708</v>
      </c>
      <c r="K837" s="43" t="s">
        <v>3412</v>
      </c>
      <c r="L837" s="30">
        <v>34000</v>
      </c>
      <c r="M837" s="30">
        <v>0</v>
      </c>
      <c r="N837" s="30">
        <f>9280+10860+13860</f>
        <v>34000</v>
      </c>
      <c r="O837" s="30">
        <f t="shared" si="14"/>
        <v>0</v>
      </c>
      <c r="P837" s="43" t="s">
        <v>2977</v>
      </c>
    </row>
    <row r="838" spans="2:16" s="54" customFormat="1" ht="29" x14ac:dyDescent="0.35">
      <c r="B838" s="35" t="s">
        <v>4715</v>
      </c>
      <c r="C838" s="80" t="s">
        <v>4716</v>
      </c>
      <c r="D838" s="36">
        <v>45301</v>
      </c>
      <c r="E838" s="36">
        <v>45308</v>
      </c>
      <c r="F838" s="36">
        <v>47134</v>
      </c>
      <c r="G838" s="64" t="s">
        <v>5683</v>
      </c>
      <c r="H838" s="43" t="s">
        <v>4726</v>
      </c>
      <c r="I838" s="35" t="s">
        <v>2493</v>
      </c>
      <c r="J838" s="43" t="s">
        <v>4748</v>
      </c>
      <c r="K838" s="43" t="s">
        <v>2586</v>
      </c>
      <c r="L838" s="30">
        <v>650000</v>
      </c>
      <c r="M838" s="30">
        <v>650000</v>
      </c>
      <c r="N838" s="30">
        <v>0</v>
      </c>
      <c r="O838" s="30">
        <f t="shared" si="14"/>
        <v>0</v>
      </c>
      <c r="P838" s="44" t="s">
        <v>6795</v>
      </c>
    </row>
    <row r="839" spans="2:16" s="54" customFormat="1" ht="29" x14ac:dyDescent="0.35">
      <c r="B839" s="35" t="s">
        <v>4717</v>
      </c>
      <c r="C839" s="80" t="s">
        <v>4718</v>
      </c>
      <c r="D839" s="36">
        <v>45301</v>
      </c>
      <c r="E839" s="36">
        <v>45308</v>
      </c>
      <c r="F839" s="36">
        <v>47134</v>
      </c>
      <c r="G839" s="64" t="s">
        <v>5683</v>
      </c>
      <c r="H839" s="43" t="s">
        <v>4726</v>
      </c>
      <c r="I839" s="35" t="s">
        <v>2493</v>
      </c>
      <c r="J839" s="43" t="s">
        <v>4748</v>
      </c>
      <c r="K839" s="43" t="s">
        <v>3665</v>
      </c>
      <c r="L839" s="30">
        <v>700000</v>
      </c>
      <c r="M839" s="30">
        <v>700000</v>
      </c>
      <c r="N839" s="30">
        <v>0</v>
      </c>
      <c r="O839" s="30">
        <f t="shared" si="14"/>
        <v>0</v>
      </c>
      <c r="P839" s="44" t="s">
        <v>6795</v>
      </c>
    </row>
    <row r="840" spans="2:16" s="54" customFormat="1" ht="29" x14ac:dyDescent="0.35">
      <c r="B840" s="35" t="s">
        <v>4111</v>
      </c>
      <c r="C840" s="80" t="s">
        <v>4710</v>
      </c>
      <c r="D840" s="36">
        <v>45140</v>
      </c>
      <c r="E840" s="36">
        <v>45310</v>
      </c>
      <c r="F840" s="36">
        <v>45809</v>
      </c>
      <c r="G840" s="64" t="s">
        <v>6</v>
      </c>
      <c r="H840" s="43" t="s">
        <v>4725</v>
      </c>
      <c r="I840" s="35" t="s">
        <v>2540</v>
      </c>
      <c r="J840" s="43" t="s">
        <v>3803</v>
      </c>
      <c r="K840" s="43" t="s">
        <v>3555</v>
      </c>
      <c r="L840" s="30">
        <v>50000</v>
      </c>
      <c r="M840" s="30">
        <v>0</v>
      </c>
      <c r="N840" s="30">
        <f>8250+10700+19250+8250+3550</f>
        <v>50000</v>
      </c>
      <c r="O840" s="30">
        <f t="shared" si="14"/>
        <v>0</v>
      </c>
      <c r="P840" s="43" t="s">
        <v>2874</v>
      </c>
    </row>
    <row r="841" spans="2:16" s="54" customFormat="1" x14ac:dyDescent="0.35">
      <c r="B841" s="35" t="s">
        <v>4719</v>
      </c>
      <c r="C841" s="80" t="s">
        <v>4720</v>
      </c>
      <c r="D841" s="36">
        <v>45177</v>
      </c>
      <c r="E841" s="36">
        <v>45310</v>
      </c>
      <c r="F841" s="36">
        <v>47136</v>
      </c>
      <c r="G841" s="64" t="s">
        <v>6</v>
      </c>
      <c r="H841" s="43" t="s">
        <v>4727</v>
      </c>
      <c r="I841" s="35" t="s">
        <v>2643</v>
      </c>
      <c r="J841" s="43" t="s">
        <v>4750</v>
      </c>
      <c r="K841" s="43" t="s">
        <v>2583</v>
      </c>
      <c r="L841" s="30">
        <v>48750</v>
      </c>
      <c r="M841" s="30">
        <v>0</v>
      </c>
      <c r="N841" s="30">
        <f>30000</f>
        <v>30000</v>
      </c>
      <c r="O841" s="30">
        <f t="shared" si="14"/>
        <v>18750</v>
      </c>
      <c r="P841" s="44">
        <v>0.55000000000000004</v>
      </c>
    </row>
    <row r="842" spans="2:16" s="54" customFormat="1" x14ac:dyDescent="0.35">
      <c r="B842" s="35" t="s">
        <v>4721</v>
      </c>
      <c r="C842" s="80" t="s">
        <v>4722</v>
      </c>
      <c r="D842" s="36">
        <v>45177</v>
      </c>
      <c r="E842" s="36">
        <v>45310</v>
      </c>
      <c r="F842" s="36">
        <v>47136</v>
      </c>
      <c r="G842" s="64" t="s">
        <v>6</v>
      </c>
      <c r="H842" s="43" t="s">
        <v>4727</v>
      </c>
      <c r="I842" s="35" t="s">
        <v>2643</v>
      </c>
      <c r="J842" s="43" t="s">
        <v>4750</v>
      </c>
      <c r="K842" s="43" t="s">
        <v>2586</v>
      </c>
      <c r="L842" s="30">
        <v>1050000</v>
      </c>
      <c r="M842" s="30">
        <v>0</v>
      </c>
      <c r="N842" s="30">
        <f>210000</f>
        <v>210000</v>
      </c>
      <c r="O842" s="30">
        <f t="shared" si="14"/>
        <v>840000</v>
      </c>
      <c r="P842" s="44">
        <v>0.55000000000000004</v>
      </c>
    </row>
    <row r="843" spans="2:16" s="54" customFormat="1" x14ac:dyDescent="0.35">
      <c r="B843" s="35" t="s">
        <v>4683</v>
      </c>
      <c r="C843" s="80" t="s">
        <v>4682</v>
      </c>
      <c r="D843" s="36">
        <v>45279</v>
      </c>
      <c r="E843" s="36">
        <v>45310</v>
      </c>
      <c r="F843" s="36">
        <v>47136</v>
      </c>
      <c r="G843" s="64" t="s">
        <v>6</v>
      </c>
      <c r="H843" s="43" t="s">
        <v>4693</v>
      </c>
      <c r="I843" s="35" t="s">
        <v>2528</v>
      </c>
      <c r="J843" s="43" t="s">
        <v>4709</v>
      </c>
      <c r="K843" s="43" t="s">
        <v>2591</v>
      </c>
      <c r="L843" s="30">
        <v>23824</v>
      </c>
      <c r="M843" s="30">
        <v>0</v>
      </c>
      <c r="N843" s="30">
        <f>23824</f>
        <v>23824</v>
      </c>
      <c r="O843" s="30">
        <f t="shared" si="14"/>
        <v>0</v>
      </c>
      <c r="P843" s="43">
        <v>14.39</v>
      </c>
    </row>
    <row r="844" spans="2:16" s="54" customFormat="1" x14ac:dyDescent="0.35">
      <c r="B844" s="35" t="s">
        <v>4956</v>
      </c>
      <c r="C844" s="80" t="s">
        <v>4957</v>
      </c>
      <c r="D844" s="36">
        <v>45234</v>
      </c>
      <c r="E844" s="36">
        <v>45317</v>
      </c>
      <c r="F844" s="36">
        <v>45473</v>
      </c>
      <c r="G844" s="64" t="s">
        <v>6</v>
      </c>
      <c r="H844" s="35" t="s">
        <v>233</v>
      </c>
      <c r="I844" s="35" t="s">
        <v>2480</v>
      </c>
      <c r="J844" s="43" t="s">
        <v>3453</v>
      </c>
      <c r="K844" s="43" t="s">
        <v>2584</v>
      </c>
      <c r="L844" s="30">
        <v>200000</v>
      </c>
      <c r="M844" s="30">
        <v>0</v>
      </c>
      <c r="N844" s="30">
        <f>91430.78+107876.41</f>
        <v>199307.19</v>
      </c>
      <c r="O844" s="30">
        <f t="shared" si="14"/>
        <v>692.80999999999767</v>
      </c>
      <c r="P844" s="43" t="s">
        <v>2874</v>
      </c>
    </row>
    <row r="845" spans="2:16" s="54" customFormat="1" x14ac:dyDescent="0.35">
      <c r="B845" s="35" t="s">
        <v>4126</v>
      </c>
      <c r="C845" s="80" t="s">
        <v>4711</v>
      </c>
      <c r="D845" s="36">
        <v>45177</v>
      </c>
      <c r="E845" s="36">
        <v>45320</v>
      </c>
      <c r="F845" s="36">
        <v>46303</v>
      </c>
      <c r="G845" s="64" t="s">
        <v>6</v>
      </c>
      <c r="H845" s="43" t="s">
        <v>4125</v>
      </c>
      <c r="I845" s="35" t="s">
        <v>2518</v>
      </c>
      <c r="J845" s="43" t="s">
        <v>4746</v>
      </c>
      <c r="K845" s="43" t="s">
        <v>2583</v>
      </c>
      <c r="L845" s="30">
        <v>6000</v>
      </c>
      <c r="M845" s="30">
        <v>0</v>
      </c>
      <c r="N845" s="30">
        <v>0</v>
      </c>
      <c r="O845" s="30">
        <f t="shared" si="14"/>
        <v>6000</v>
      </c>
      <c r="P845" s="44">
        <v>1.8</v>
      </c>
    </row>
    <row r="846" spans="2:16" s="54" customFormat="1" ht="29" x14ac:dyDescent="0.35">
      <c r="B846" s="35" t="s">
        <v>4723</v>
      </c>
      <c r="C846" s="80" t="s">
        <v>4724</v>
      </c>
      <c r="D846" s="36">
        <v>45327</v>
      </c>
      <c r="E846" s="36">
        <v>45320</v>
      </c>
      <c r="F846" s="36">
        <v>45473</v>
      </c>
      <c r="G846" s="64" t="s">
        <v>6</v>
      </c>
      <c r="H846" s="43" t="s">
        <v>4728</v>
      </c>
      <c r="I846" s="35" t="s">
        <v>2944</v>
      </c>
      <c r="J846" s="43" t="s">
        <v>5077</v>
      </c>
      <c r="K846" s="43" t="s">
        <v>3412</v>
      </c>
      <c r="L846" s="30">
        <v>150000</v>
      </c>
      <c r="M846" s="30">
        <v>0</v>
      </c>
      <c r="N846" s="30">
        <v>120180</v>
      </c>
      <c r="O846" s="30">
        <f t="shared" si="14"/>
        <v>29820</v>
      </c>
      <c r="P846" s="43" t="s">
        <v>2977</v>
      </c>
    </row>
    <row r="847" spans="2:16" s="54" customFormat="1" x14ac:dyDescent="0.35">
      <c r="B847" s="35" t="s">
        <v>4766</v>
      </c>
      <c r="C847" s="80" t="s">
        <v>4797</v>
      </c>
      <c r="D847" s="36">
        <v>45140</v>
      </c>
      <c r="E847" s="36">
        <v>45326</v>
      </c>
      <c r="F847" s="36">
        <v>45473</v>
      </c>
      <c r="G847" s="64" t="s">
        <v>6</v>
      </c>
      <c r="H847" s="35" t="s">
        <v>4829</v>
      </c>
      <c r="I847" s="35" t="s">
        <v>2480</v>
      </c>
      <c r="J847" s="43" t="s">
        <v>4818</v>
      </c>
      <c r="K847" s="43" t="s">
        <v>5558</v>
      </c>
      <c r="L847" s="30">
        <v>15000</v>
      </c>
      <c r="M847" s="30">
        <v>0</v>
      </c>
      <c r="N847" s="30">
        <f>7500+7500</f>
        <v>15000</v>
      </c>
      <c r="O847" s="30">
        <f t="shared" si="14"/>
        <v>0</v>
      </c>
      <c r="P847" s="43" t="s">
        <v>2977</v>
      </c>
    </row>
    <row r="848" spans="2:16" s="54" customFormat="1" ht="29" x14ac:dyDescent="0.35">
      <c r="B848" s="35" t="s">
        <v>4111</v>
      </c>
      <c r="C848" s="80" t="s">
        <v>4800</v>
      </c>
      <c r="D848" s="36">
        <v>45140</v>
      </c>
      <c r="E848" s="36">
        <v>45327</v>
      </c>
      <c r="F848" s="36">
        <v>45692</v>
      </c>
      <c r="G848" s="64" t="s">
        <v>6</v>
      </c>
      <c r="H848" s="35" t="s">
        <v>4827</v>
      </c>
      <c r="I848" s="35" t="s">
        <v>2473</v>
      </c>
      <c r="J848" s="43" t="s">
        <v>4804</v>
      </c>
      <c r="K848" s="43" t="s">
        <v>3555</v>
      </c>
      <c r="L848" s="30">
        <v>5000</v>
      </c>
      <c r="M848" s="30">
        <v>0</v>
      </c>
      <c r="N848" s="30">
        <v>5000</v>
      </c>
      <c r="O848" s="30">
        <f t="shared" si="14"/>
        <v>0</v>
      </c>
      <c r="P848" s="43" t="s">
        <v>2874</v>
      </c>
    </row>
    <row r="849" spans="2:16" s="54" customFormat="1" x14ac:dyDescent="0.35">
      <c r="B849" s="35" t="s">
        <v>4799</v>
      </c>
      <c r="C849" s="80" t="s">
        <v>4798</v>
      </c>
      <c r="D849" s="36">
        <v>45140</v>
      </c>
      <c r="E849" s="36">
        <v>45328</v>
      </c>
      <c r="F849" s="36">
        <v>45473</v>
      </c>
      <c r="G849" s="64" t="s">
        <v>6</v>
      </c>
      <c r="H849" s="35" t="s">
        <v>4828</v>
      </c>
      <c r="I849" s="35" t="s">
        <v>2480</v>
      </c>
      <c r="J849" s="43" t="s">
        <v>4817</v>
      </c>
      <c r="K849" s="43" t="s">
        <v>5558</v>
      </c>
      <c r="L849" s="30">
        <v>25000</v>
      </c>
      <c r="M849" s="30">
        <v>0</v>
      </c>
      <c r="N849" s="30">
        <v>25000</v>
      </c>
      <c r="O849" s="30">
        <f t="shared" si="14"/>
        <v>0</v>
      </c>
      <c r="P849" s="43" t="s">
        <v>2977</v>
      </c>
    </row>
    <row r="850" spans="2:16" s="54" customFormat="1" ht="29" x14ac:dyDescent="0.35">
      <c r="B850" s="35" t="s">
        <v>4788</v>
      </c>
      <c r="C850" s="80" t="s">
        <v>4796</v>
      </c>
      <c r="D850" s="36">
        <v>45140</v>
      </c>
      <c r="E850" s="36">
        <v>45328</v>
      </c>
      <c r="F850" s="36">
        <v>45874</v>
      </c>
      <c r="G850" s="64" t="s">
        <v>6</v>
      </c>
      <c r="H850" s="35" t="s">
        <v>4830</v>
      </c>
      <c r="I850" s="35" t="s">
        <v>2480</v>
      </c>
      <c r="J850" s="43" t="s">
        <v>4810</v>
      </c>
      <c r="K850" s="43" t="s">
        <v>4819</v>
      </c>
      <c r="L850" s="30">
        <v>5000</v>
      </c>
      <c r="M850" s="30">
        <v>0</v>
      </c>
      <c r="N850" s="30">
        <v>0</v>
      </c>
      <c r="O850" s="30">
        <f t="shared" si="14"/>
        <v>5000</v>
      </c>
      <c r="P850" s="43" t="s">
        <v>2874</v>
      </c>
    </row>
    <row r="851" spans="2:16" s="54" customFormat="1" ht="29" x14ac:dyDescent="0.35">
      <c r="B851" s="35" t="s">
        <v>4788</v>
      </c>
      <c r="C851" s="80" t="s">
        <v>4795</v>
      </c>
      <c r="D851" s="36">
        <v>45140</v>
      </c>
      <c r="E851" s="36">
        <v>45328</v>
      </c>
      <c r="F851" s="36">
        <v>45874</v>
      </c>
      <c r="G851" s="64" t="s">
        <v>6</v>
      </c>
      <c r="H851" s="35" t="s">
        <v>4831</v>
      </c>
      <c r="I851" s="35" t="s">
        <v>2514</v>
      </c>
      <c r="J851" s="43" t="s">
        <v>4811</v>
      </c>
      <c r="K851" s="43" t="s">
        <v>4819</v>
      </c>
      <c r="L851" s="30">
        <v>10000</v>
      </c>
      <c r="M851" s="30">
        <v>0</v>
      </c>
      <c r="N851" s="30">
        <f>2101.07+1037.35</f>
        <v>3138.42</v>
      </c>
      <c r="O851" s="30">
        <f t="shared" si="14"/>
        <v>6861.58</v>
      </c>
      <c r="P851" s="43" t="s">
        <v>2874</v>
      </c>
    </row>
    <row r="852" spans="2:16" s="54" customFormat="1" ht="43.5" x14ac:dyDescent="0.35">
      <c r="B852" s="35" t="s">
        <v>4788</v>
      </c>
      <c r="C852" s="80" t="s">
        <v>4794</v>
      </c>
      <c r="D852" s="36">
        <v>45140</v>
      </c>
      <c r="E852" s="36">
        <v>45328</v>
      </c>
      <c r="F852" s="36">
        <v>45874</v>
      </c>
      <c r="G852" s="64" t="s">
        <v>6</v>
      </c>
      <c r="H852" s="35" t="s">
        <v>4832</v>
      </c>
      <c r="I852" s="35" t="s">
        <v>2480</v>
      </c>
      <c r="J852" s="43" t="s">
        <v>4812</v>
      </c>
      <c r="K852" s="43" t="s">
        <v>4819</v>
      </c>
      <c r="L852" s="30">
        <v>10000</v>
      </c>
      <c r="M852" s="30">
        <v>0</v>
      </c>
      <c r="N852" s="30">
        <v>0</v>
      </c>
      <c r="O852" s="30">
        <f t="shared" si="14"/>
        <v>10000</v>
      </c>
      <c r="P852" s="43" t="s">
        <v>2874</v>
      </c>
    </row>
    <row r="853" spans="2:16" s="54" customFormat="1" ht="29" x14ac:dyDescent="0.35">
      <c r="B853" s="35" t="s">
        <v>4788</v>
      </c>
      <c r="C853" s="80" t="s">
        <v>4793</v>
      </c>
      <c r="D853" s="36">
        <v>45140</v>
      </c>
      <c r="E853" s="36">
        <v>45328</v>
      </c>
      <c r="F853" s="36">
        <v>45874</v>
      </c>
      <c r="G853" s="64" t="s">
        <v>6</v>
      </c>
      <c r="H853" s="35" t="s">
        <v>4833</v>
      </c>
      <c r="I853" s="35" t="s">
        <v>3011</v>
      </c>
      <c r="J853" s="43" t="s">
        <v>4813</v>
      </c>
      <c r="K853" s="43" t="s">
        <v>4819</v>
      </c>
      <c r="L853" s="30">
        <v>10000</v>
      </c>
      <c r="M853" s="30">
        <v>0</v>
      </c>
      <c r="N853" s="30">
        <f>3589.12</f>
        <v>3589.12</v>
      </c>
      <c r="O853" s="30">
        <f t="shared" si="14"/>
        <v>6410.88</v>
      </c>
      <c r="P853" s="43" t="s">
        <v>2874</v>
      </c>
    </row>
    <row r="854" spans="2:16" s="54" customFormat="1" ht="29" x14ac:dyDescent="0.35">
      <c r="B854" s="35" t="s">
        <v>4788</v>
      </c>
      <c r="C854" s="80" t="s">
        <v>4792</v>
      </c>
      <c r="D854" s="36">
        <v>45140</v>
      </c>
      <c r="E854" s="36">
        <v>45328</v>
      </c>
      <c r="F854" s="36">
        <v>45874</v>
      </c>
      <c r="G854" s="64" t="s">
        <v>6</v>
      </c>
      <c r="H854" s="35" t="s">
        <v>4834</v>
      </c>
      <c r="I854" s="35" t="s">
        <v>2480</v>
      </c>
      <c r="J854" s="43" t="s">
        <v>4814</v>
      </c>
      <c r="K854" s="43" t="s">
        <v>4819</v>
      </c>
      <c r="L854" s="30">
        <v>10000</v>
      </c>
      <c r="M854" s="30">
        <v>0</v>
      </c>
      <c r="N854" s="30">
        <v>972</v>
      </c>
      <c r="O854" s="30">
        <f t="shared" si="14"/>
        <v>9028</v>
      </c>
      <c r="P854" s="43" t="s">
        <v>2874</v>
      </c>
    </row>
    <row r="855" spans="2:16" s="54" customFormat="1" ht="29" x14ac:dyDescent="0.35">
      <c r="B855" s="35" t="s">
        <v>4111</v>
      </c>
      <c r="C855" s="80" t="s">
        <v>4791</v>
      </c>
      <c r="D855" s="36">
        <v>45140</v>
      </c>
      <c r="E855" s="36">
        <v>45328</v>
      </c>
      <c r="F855" s="36">
        <v>45693</v>
      </c>
      <c r="G855" s="64" t="s">
        <v>6</v>
      </c>
      <c r="H855" s="35" t="s">
        <v>4835</v>
      </c>
      <c r="I855" s="35" t="s">
        <v>2476</v>
      </c>
      <c r="J855" s="43" t="s">
        <v>3354</v>
      </c>
      <c r="K855" s="43" t="s">
        <v>3555</v>
      </c>
      <c r="L855" s="30">
        <v>5000</v>
      </c>
      <c r="M855" s="30">
        <v>0</v>
      </c>
      <c r="N855" s="30">
        <f>5000</f>
        <v>5000</v>
      </c>
      <c r="O855" s="30">
        <f t="shared" si="14"/>
        <v>0</v>
      </c>
      <c r="P855" s="43" t="s">
        <v>2874</v>
      </c>
    </row>
    <row r="856" spans="2:16" s="54" customFormat="1" ht="29" x14ac:dyDescent="0.35">
      <c r="B856" s="35" t="s">
        <v>4111</v>
      </c>
      <c r="C856" s="80" t="s">
        <v>4790</v>
      </c>
      <c r="D856" s="36">
        <v>45140</v>
      </c>
      <c r="E856" s="36">
        <v>45328</v>
      </c>
      <c r="F856" s="36">
        <v>46058</v>
      </c>
      <c r="G856" s="64" t="s">
        <v>6</v>
      </c>
      <c r="H856" s="35" t="s">
        <v>4836</v>
      </c>
      <c r="I856" s="35" t="s">
        <v>2481</v>
      </c>
      <c r="J856" s="43" t="s">
        <v>4805</v>
      </c>
      <c r="K856" s="43" t="s">
        <v>3555</v>
      </c>
      <c r="L856" s="30">
        <v>10000</v>
      </c>
      <c r="M856" s="30">
        <v>0</v>
      </c>
      <c r="N856" s="30">
        <f>10000</f>
        <v>10000</v>
      </c>
      <c r="O856" s="30">
        <f t="shared" si="14"/>
        <v>0</v>
      </c>
      <c r="P856" s="43" t="s">
        <v>2874</v>
      </c>
    </row>
    <row r="857" spans="2:16" s="54" customFormat="1" ht="29" x14ac:dyDescent="0.35">
      <c r="B857" s="35" t="s">
        <v>4784</v>
      </c>
      <c r="C857" s="80" t="s">
        <v>4783</v>
      </c>
      <c r="D857" s="36">
        <v>45151</v>
      </c>
      <c r="E857" s="36">
        <v>45328</v>
      </c>
      <c r="F857" s="36">
        <v>45509</v>
      </c>
      <c r="G857" s="64" t="s">
        <v>6</v>
      </c>
      <c r="H857" s="35" t="s">
        <v>2512</v>
      </c>
      <c r="I857" s="35" t="s">
        <v>2483</v>
      </c>
      <c r="J857" s="43" t="s">
        <v>4823</v>
      </c>
      <c r="K857" s="43" t="s">
        <v>2587</v>
      </c>
      <c r="L857" s="30">
        <v>1912500</v>
      </c>
      <c r="M857" s="30">
        <v>0</v>
      </c>
      <c r="N857" s="30">
        <v>0</v>
      </c>
      <c r="O857" s="30">
        <f t="shared" si="14"/>
        <v>1912500</v>
      </c>
      <c r="P857" s="44">
        <v>7.04</v>
      </c>
    </row>
    <row r="858" spans="2:16" s="54" customFormat="1" ht="29" x14ac:dyDescent="0.35">
      <c r="B858" s="35" t="s">
        <v>4782</v>
      </c>
      <c r="C858" s="80" t="s">
        <v>4781</v>
      </c>
      <c r="D858" s="36">
        <v>45153</v>
      </c>
      <c r="E858" s="36">
        <v>45328</v>
      </c>
      <c r="F858" s="36">
        <v>47154</v>
      </c>
      <c r="G858" s="64" t="s">
        <v>6</v>
      </c>
      <c r="H858" s="35" t="s">
        <v>2512</v>
      </c>
      <c r="I858" s="35" t="s">
        <v>2483</v>
      </c>
      <c r="J858" s="43" t="s">
        <v>4823</v>
      </c>
      <c r="K858" s="43" t="s">
        <v>2591</v>
      </c>
      <c r="L858" s="30">
        <v>520000</v>
      </c>
      <c r="M858" s="30">
        <v>0</v>
      </c>
      <c r="N858" s="30">
        <v>0</v>
      </c>
      <c r="O858" s="30">
        <f t="shared" si="14"/>
        <v>520000</v>
      </c>
      <c r="P858" s="44">
        <v>7.04</v>
      </c>
    </row>
    <row r="859" spans="2:16" s="54" customFormat="1" ht="29" x14ac:dyDescent="0.35">
      <c r="B859" s="35" t="s">
        <v>4788</v>
      </c>
      <c r="C859" s="80" t="s">
        <v>4789</v>
      </c>
      <c r="D859" s="36">
        <v>45140</v>
      </c>
      <c r="E859" s="36">
        <v>45331</v>
      </c>
      <c r="F859" s="36">
        <v>45877</v>
      </c>
      <c r="G859" s="64" t="s">
        <v>6</v>
      </c>
      <c r="H859" s="35" t="s">
        <v>4837</v>
      </c>
      <c r="I859" s="35" t="s">
        <v>3015</v>
      </c>
      <c r="J859" s="43" t="s">
        <v>4815</v>
      </c>
      <c r="K859" s="43" t="s">
        <v>4819</v>
      </c>
      <c r="L859" s="30">
        <v>10000</v>
      </c>
      <c r="M859" s="30">
        <v>0</v>
      </c>
      <c r="N859" s="30">
        <v>0</v>
      </c>
      <c r="O859" s="30">
        <f t="shared" ref="O859:O922" si="15">L859-M859-N859</f>
        <v>10000</v>
      </c>
      <c r="P859" s="43" t="s">
        <v>2874</v>
      </c>
    </row>
    <row r="860" spans="2:16" s="54" customFormat="1" ht="29" x14ac:dyDescent="0.35">
      <c r="B860" s="35" t="s">
        <v>4788</v>
      </c>
      <c r="C860" s="80" t="s">
        <v>4787</v>
      </c>
      <c r="D860" s="36">
        <v>45140</v>
      </c>
      <c r="E860" s="36">
        <v>45331</v>
      </c>
      <c r="F860" s="36">
        <v>45877</v>
      </c>
      <c r="G860" s="64" t="s">
        <v>6</v>
      </c>
      <c r="H860" s="35" t="s">
        <v>4838</v>
      </c>
      <c r="I860" s="35" t="s">
        <v>2491</v>
      </c>
      <c r="J860" s="43" t="s">
        <v>4816</v>
      </c>
      <c r="K860" s="43" t="s">
        <v>4819</v>
      </c>
      <c r="L860" s="30">
        <v>3000</v>
      </c>
      <c r="M860" s="30">
        <v>0</v>
      </c>
      <c r="N860" s="30">
        <v>0</v>
      </c>
      <c r="O860" s="30">
        <f t="shared" si="15"/>
        <v>3000</v>
      </c>
      <c r="P860" s="43" t="s">
        <v>2874</v>
      </c>
    </row>
    <row r="861" spans="2:16" s="54" customFormat="1" ht="29" x14ac:dyDescent="0.35">
      <c r="B861" s="35" t="s">
        <v>4111</v>
      </c>
      <c r="C861" s="80" t="s">
        <v>4786</v>
      </c>
      <c r="D861" s="36">
        <v>45140</v>
      </c>
      <c r="E861" s="36">
        <v>45331</v>
      </c>
      <c r="F861" s="36">
        <v>45696</v>
      </c>
      <c r="G861" s="64" t="s">
        <v>6</v>
      </c>
      <c r="H861" s="35" t="s">
        <v>4839</v>
      </c>
      <c r="I861" s="35" t="s">
        <v>2518</v>
      </c>
      <c r="J861" s="43" t="s">
        <v>4806</v>
      </c>
      <c r="K861" s="43" t="s">
        <v>3555</v>
      </c>
      <c r="L861" s="30">
        <v>5000</v>
      </c>
      <c r="M861" s="30">
        <v>0</v>
      </c>
      <c r="N861" s="30">
        <v>5000</v>
      </c>
      <c r="O861" s="30">
        <f t="shared" si="15"/>
        <v>0</v>
      </c>
      <c r="P861" s="43" t="s">
        <v>2874</v>
      </c>
    </row>
    <row r="862" spans="2:16" s="54" customFormat="1" ht="29" x14ac:dyDescent="0.35">
      <c r="B862" s="35" t="s">
        <v>4111</v>
      </c>
      <c r="C862" s="80" t="s">
        <v>4785</v>
      </c>
      <c r="D862" s="36">
        <v>45140</v>
      </c>
      <c r="E862" s="36">
        <v>45334</v>
      </c>
      <c r="F862" s="36">
        <v>46064</v>
      </c>
      <c r="G862" s="64" t="s">
        <v>6</v>
      </c>
      <c r="H862" s="35" t="s">
        <v>4840</v>
      </c>
      <c r="I862" s="35" t="s">
        <v>2518</v>
      </c>
      <c r="J862" s="43" t="s">
        <v>4807</v>
      </c>
      <c r="K862" s="43" t="s">
        <v>3555</v>
      </c>
      <c r="L862" s="30">
        <v>50000</v>
      </c>
      <c r="M862" s="30">
        <v>0</v>
      </c>
      <c r="N862" s="30">
        <v>0</v>
      </c>
      <c r="O862" s="30">
        <f t="shared" si="15"/>
        <v>50000</v>
      </c>
      <c r="P862" s="43" t="s">
        <v>2874</v>
      </c>
    </row>
    <row r="863" spans="2:16" s="54" customFormat="1" x14ac:dyDescent="0.35">
      <c r="B863" s="35" t="s">
        <v>4780</v>
      </c>
      <c r="C863" s="80" t="s">
        <v>4779</v>
      </c>
      <c r="D863" s="36">
        <v>45327</v>
      </c>
      <c r="E863" s="36">
        <v>45335</v>
      </c>
      <c r="F863" s="36">
        <v>46430</v>
      </c>
      <c r="G863" s="64" t="s">
        <v>6</v>
      </c>
      <c r="H863" s="35" t="s">
        <v>4841</v>
      </c>
      <c r="I863" s="35" t="s">
        <v>3491</v>
      </c>
      <c r="J863" s="43" t="s">
        <v>4821</v>
      </c>
      <c r="K863" s="43" t="s">
        <v>2587</v>
      </c>
      <c r="L863" s="30">
        <v>9450</v>
      </c>
      <c r="M863" s="30">
        <v>0</v>
      </c>
      <c r="N863" s="30">
        <v>0</v>
      </c>
      <c r="O863" s="30">
        <f t="shared" si="15"/>
        <v>9450</v>
      </c>
      <c r="P863" s="44">
        <v>2.48</v>
      </c>
    </row>
    <row r="864" spans="2:16" s="54" customFormat="1" x14ac:dyDescent="0.35">
      <c r="B864" s="35" t="s">
        <v>4778</v>
      </c>
      <c r="C864" s="80" t="s">
        <v>4777</v>
      </c>
      <c r="D864" s="36">
        <v>45328</v>
      </c>
      <c r="E864" s="36">
        <v>45335</v>
      </c>
      <c r="F864" s="36">
        <v>47161</v>
      </c>
      <c r="G864" s="64" t="s">
        <v>6</v>
      </c>
      <c r="H864" s="35" t="s">
        <v>4841</v>
      </c>
      <c r="I864" s="35" t="s">
        <v>3491</v>
      </c>
      <c r="J864" s="43" t="s">
        <v>4821</v>
      </c>
      <c r="K864" s="43" t="s">
        <v>2591</v>
      </c>
      <c r="L864" s="30">
        <v>18071</v>
      </c>
      <c r="M864" s="30">
        <v>0</v>
      </c>
      <c r="N864" s="30">
        <v>18071</v>
      </c>
      <c r="O864" s="30">
        <f t="shared" si="15"/>
        <v>0</v>
      </c>
      <c r="P864" s="44">
        <v>2.48</v>
      </c>
    </row>
    <row r="865" spans="2:16" s="54" customFormat="1" x14ac:dyDescent="0.35">
      <c r="B865" s="35" t="s">
        <v>4776</v>
      </c>
      <c r="C865" s="80" t="s">
        <v>4775</v>
      </c>
      <c r="D865" s="36">
        <v>45327</v>
      </c>
      <c r="E865" s="36">
        <v>45335</v>
      </c>
      <c r="F865" s="36">
        <v>47161</v>
      </c>
      <c r="G865" s="64" t="s">
        <v>6</v>
      </c>
      <c r="H865" s="35" t="s">
        <v>4842</v>
      </c>
      <c r="I865" s="35" t="s">
        <v>2473</v>
      </c>
      <c r="J865" s="43" t="s">
        <v>4820</v>
      </c>
      <c r="K865" s="43" t="s">
        <v>2587</v>
      </c>
      <c r="L865" s="30">
        <v>6500</v>
      </c>
      <c r="M865" s="30">
        <v>0</v>
      </c>
      <c r="N865" s="30">
        <v>2600</v>
      </c>
      <c r="O865" s="30">
        <f t="shared" si="15"/>
        <v>3900</v>
      </c>
      <c r="P865" s="44">
        <v>7.45</v>
      </c>
    </row>
    <row r="866" spans="2:16" s="54" customFormat="1" x14ac:dyDescent="0.35">
      <c r="B866" s="35" t="s">
        <v>4774</v>
      </c>
      <c r="C866" s="80" t="s">
        <v>4773</v>
      </c>
      <c r="D866" s="36">
        <v>45327</v>
      </c>
      <c r="E866" s="36">
        <v>45335</v>
      </c>
      <c r="F866" s="36">
        <v>47161</v>
      </c>
      <c r="G866" s="64" t="s">
        <v>6</v>
      </c>
      <c r="H866" s="35" t="s">
        <v>4842</v>
      </c>
      <c r="I866" s="35" t="s">
        <v>2473</v>
      </c>
      <c r="J866" s="43" t="s">
        <v>4820</v>
      </c>
      <c r="K866" s="43" t="s">
        <v>2591</v>
      </c>
      <c r="L866" s="30">
        <v>27960</v>
      </c>
      <c r="M866" s="30">
        <v>0</v>
      </c>
      <c r="N866" s="30">
        <v>8671.5</v>
      </c>
      <c r="O866" s="30">
        <f t="shared" si="15"/>
        <v>19288.5</v>
      </c>
      <c r="P866" s="44">
        <v>7.45</v>
      </c>
    </row>
    <row r="867" spans="2:16" s="54" customFormat="1" x14ac:dyDescent="0.35">
      <c r="B867" s="35" t="s">
        <v>4772</v>
      </c>
      <c r="C867" s="80" t="s">
        <v>4771</v>
      </c>
      <c r="D867" s="36">
        <v>45328</v>
      </c>
      <c r="E867" s="36">
        <v>45335</v>
      </c>
      <c r="F867" s="36">
        <v>47161</v>
      </c>
      <c r="G867" s="64" t="s">
        <v>6</v>
      </c>
      <c r="H867" s="35" t="s">
        <v>2631</v>
      </c>
      <c r="I867" s="35" t="s">
        <v>2475</v>
      </c>
      <c r="J867" s="43" t="s">
        <v>4822</v>
      </c>
      <c r="K867" s="43" t="s">
        <v>2591</v>
      </c>
      <c r="L867" s="30">
        <v>84000</v>
      </c>
      <c r="M867" s="30">
        <v>0</v>
      </c>
      <c r="N867" s="30">
        <v>0</v>
      </c>
      <c r="O867" s="30">
        <f t="shared" si="15"/>
        <v>84000</v>
      </c>
      <c r="P867" s="44">
        <v>9.2100000000000009</v>
      </c>
    </row>
    <row r="868" spans="2:16" s="54" customFormat="1" ht="29" x14ac:dyDescent="0.35">
      <c r="B868" s="35" t="s">
        <v>4788</v>
      </c>
      <c r="C868" s="80" t="s">
        <v>5436</v>
      </c>
      <c r="D868" s="36">
        <v>45140</v>
      </c>
      <c r="E868" s="36">
        <v>45336</v>
      </c>
      <c r="F868" s="36">
        <v>45517</v>
      </c>
      <c r="G868" s="64" t="s">
        <v>6</v>
      </c>
      <c r="H868" s="35" t="s">
        <v>5437</v>
      </c>
      <c r="I868" s="35" t="s">
        <v>2480</v>
      </c>
      <c r="J868" s="43" t="s">
        <v>5547</v>
      </c>
      <c r="K868" s="43" t="s">
        <v>4819</v>
      </c>
      <c r="L868" s="30">
        <v>10000</v>
      </c>
      <c r="M868" s="30">
        <v>0</v>
      </c>
      <c r="N868" s="30">
        <v>0</v>
      </c>
      <c r="O868" s="30">
        <f t="shared" si="15"/>
        <v>10000</v>
      </c>
      <c r="P868" s="43" t="s">
        <v>2874</v>
      </c>
    </row>
    <row r="869" spans="2:16" s="54" customFormat="1" ht="29" x14ac:dyDescent="0.35">
      <c r="B869" s="35" t="s">
        <v>4788</v>
      </c>
      <c r="C869" s="80" t="s">
        <v>5438</v>
      </c>
      <c r="D869" s="36">
        <v>45140</v>
      </c>
      <c r="E869" s="36">
        <v>45336</v>
      </c>
      <c r="F869" s="36">
        <v>45882</v>
      </c>
      <c r="G869" s="64" t="s">
        <v>6</v>
      </c>
      <c r="H869" s="35" t="s">
        <v>5439</v>
      </c>
      <c r="I869" s="35" t="s">
        <v>2490</v>
      </c>
      <c r="J869" s="43" t="s">
        <v>5548</v>
      </c>
      <c r="K869" s="43" t="s">
        <v>4819</v>
      </c>
      <c r="L869" s="30">
        <v>10000</v>
      </c>
      <c r="M869" s="30">
        <v>0</v>
      </c>
      <c r="N869" s="30">
        <f>4629.08</f>
        <v>4629.08</v>
      </c>
      <c r="O869" s="30">
        <f t="shared" si="15"/>
        <v>5370.92</v>
      </c>
      <c r="P869" s="43" t="s">
        <v>2874</v>
      </c>
    </row>
    <row r="870" spans="2:16" s="54" customFormat="1" ht="29" x14ac:dyDescent="0.35">
      <c r="B870" s="35" t="s">
        <v>4788</v>
      </c>
      <c r="C870" s="80" t="s">
        <v>5440</v>
      </c>
      <c r="D870" s="36">
        <v>45140</v>
      </c>
      <c r="E870" s="36">
        <v>45336</v>
      </c>
      <c r="F870" s="36">
        <v>45882</v>
      </c>
      <c r="G870" s="64" t="s">
        <v>6</v>
      </c>
      <c r="H870" s="35" t="s">
        <v>5441</v>
      </c>
      <c r="I870" s="35" t="s">
        <v>2518</v>
      </c>
      <c r="J870" s="43" t="s">
        <v>5549</v>
      </c>
      <c r="K870" s="43" t="s">
        <v>4819</v>
      </c>
      <c r="L870" s="30">
        <v>10000</v>
      </c>
      <c r="M870" s="30">
        <v>0</v>
      </c>
      <c r="N870" s="30">
        <f>109.97+2255.05</f>
        <v>2365.02</v>
      </c>
      <c r="O870" s="30">
        <f t="shared" si="15"/>
        <v>7634.98</v>
      </c>
      <c r="P870" s="43" t="s">
        <v>2874</v>
      </c>
    </row>
    <row r="871" spans="2:16" s="54" customFormat="1" ht="29" x14ac:dyDescent="0.35">
      <c r="B871" s="35" t="s">
        <v>4788</v>
      </c>
      <c r="C871" s="80" t="s">
        <v>5442</v>
      </c>
      <c r="D871" s="36">
        <v>45140</v>
      </c>
      <c r="E871" s="36">
        <v>45336</v>
      </c>
      <c r="F871" s="36">
        <v>45882</v>
      </c>
      <c r="G871" s="64" t="s">
        <v>6</v>
      </c>
      <c r="H871" s="35" t="s">
        <v>5443</v>
      </c>
      <c r="I871" s="35" t="s">
        <v>2480</v>
      </c>
      <c r="J871" s="43" t="s">
        <v>3803</v>
      </c>
      <c r="K871" s="43" t="s">
        <v>4819</v>
      </c>
      <c r="L871" s="30">
        <v>10000</v>
      </c>
      <c r="M871" s="30">
        <v>0</v>
      </c>
      <c r="N871" s="30">
        <v>0</v>
      </c>
      <c r="O871" s="30">
        <f t="shared" si="15"/>
        <v>10000</v>
      </c>
      <c r="P871" s="43" t="s">
        <v>2874</v>
      </c>
    </row>
    <row r="872" spans="2:16" s="54" customFormat="1" ht="29" x14ac:dyDescent="0.35">
      <c r="B872" s="35" t="s">
        <v>4788</v>
      </c>
      <c r="C872" s="80" t="s">
        <v>5444</v>
      </c>
      <c r="D872" s="36">
        <v>45140</v>
      </c>
      <c r="E872" s="36">
        <v>45336</v>
      </c>
      <c r="F872" s="36">
        <v>45882</v>
      </c>
      <c r="G872" s="64" t="s">
        <v>6</v>
      </c>
      <c r="H872" s="35" t="s">
        <v>5445</v>
      </c>
      <c r="I872" s="35" t="s">
        <v>2483</v>
      </c>
      <c r="J872" s="43" t="s">
        <v>5550</v>
      </c>
      <c r="K872" s="43" t="s">
        <v>4819</v>
      </c>
      <c r="L872" s="30">
        <v>10000</v>
      </c>
      <c r="M872" s="30">
        <v>0</v>
      </c>
      <c r="N872" s="30">
        <f>780.33+1275</f>
        <v>2055.33</v>
      </c>
      <c r="O872" s="30">
        <f t="shared" si="15"/>
        <v>7944.67</v>
      </c>
      <c r="P872" s="43" t="s">
        <v>2874</v>
      </c>
    </row>
    <row r="873" spans="2:16" s="54" customFormat="1" ht="29" x14ac:dyDescent="0.35">
      <c r="B873" s="35" t="s">
        <v>4788</v>
      </c>
      <c r="C873" s="80" t="s">
        <v>5446</v>
      </c>
      <c r="D873" s="36">
        <v>45140</v>
      </c>
      <c r="E873" s="36">
        <v>45336</v>
      </c>
      <c r="F873" s="36">
        <v>45882</v>
      </c>
      <c r="G873" s="64" t="s">
        <v>6</v>
      </c>
      <c r="H873" s="35" t="s">
        <v>5447</v>
      </c>
      <c r="I873" s="35" t="s">
        <v>2480</v>
      </c>
      <c r="J873" s="43" t="s">
        <v>5551</v>
      </c>
      <c r="K873" s="43" t="s">
        <v>4819</v>
      </c>
      <c r="L873" s="30">
        <v>10000</v>
      </c>
      <c r="M873" s="30">
        <v>0</v>
      </c>
      <c r="N873" s="30">
        <v>0</v>
      </c>
      <c r="O873" s="30">
        <f t="shared" si="15"/>
        <v>10000</v>
      </c>
      <c r="P873" s="43" t="s">
        <v>2874</v>
      </c>
    </row>
    <row r="874" spans="2:16" s="54" customFormat="1" x14ac:dyDescent="0.35">
      <c r="B874" s="35" t="s">
        <v>4753</v>
      </c>
      <c r="C874" s="80" t="s">
        <v>4764</v>
      </c>
      <c r="D874" s="36">
        <v>45140</v>
      </c>
      <c r="E874" s="36">
        <v>45336</v>
      </c>
      <c r="F874" s="36">
        <v>46022</v>
      </c>
      <c r="G874" s="64" t="s">
        <v>6</v>
      </c>
      <c r="H874" s="35" t="s">
        <v>4845</v>
      </c>
      <c r="I874" s="35" t="s">
        <v>2514</v>
      </c>
      <c r="J874" s="43" t="s">
        <v>5236</v>
      </c>
      <c r="K874" s="43" t="s">
        <v>3181</v>
      </c>
      <c r="L874" s="30">
        <v>20000</v>
      </c>
      <c r="M874" s="30">
        <v>0</v>
      </c>
      <c r="N874" s="30">
        <f>5000+5000</f>
        <v>10000</v>
      </c>
      <c r="O874" s="30">
        <f t="shared" si="15"/>
        <v>10000</v>
      </c>
      <c r="P874" s="43" t="s">
        <v>2874</v>
      </c>
    </row>
    <row r="875" spans="2:16" s="54" customFormat="1" x14ac:dyDescent="0.35">
      <c r="B875" s="35" t="s">
        <v>4753</v>
      </c>
      <c r="C875" s="80" t="s">
        <v>4763</v>
      </c>
      <c r="D875" s="36">
        <v>45140</v>
      </c>
      <c r="E875" s="36">
        <v>45336</v>
      </c>
      <c r="F875" s="36">
        <v>45657</v>
      </c>
      <c r="G875" s="64" t="s">
        <v>6</v>
      </c>
      <c r="H875" s="35" t="s">
        <v>4846</v>
      </c>
      <c r="I875" s="35" t="s">
        <v>2540</v>
      </c>
      <c r="J875" s="43" t="s">
        <v>5236</v>
      </c>
      <c r="K875" s="43" t="s">
        <v>3181</v>
      </c>
      <c r="L875" s="30">
        <v>10000</v>
      </c>
      <c r="M875" s="30">
        <v>0</v>
      </c>
      <c r="N875" s="30">
        <f>5000+5000</f>
        <v>10000</v>
      </c>
      <c r="O875" s="30">
        <f t="shared" si="15"/>
        <v>0</v>
      </c>
      <c r="P875" s="43" t="s">
        <v>2874</v>
      </c>
    </row>
    <row r="876" spans="2:16" s="54" customFormat="1" x14ac:dyDescent="0.35">
      <c r="B876" s="35" t="s">
        <v>4753</v>
      </c>
      <c r="C876" s="80" t="s">
        <v>4762</v>
      </c>
      <c r="D876" s="36">
        <v>45140</v>
      </c>
      <c r="E876" s="36">
        <v>45336</v>
      </c>
      <c r="F876" s="36">
        <v>45657</v>
      </c>
      <c r="G876" s="64" t="s">
        <v>6</v>
      </c>
      <c r="H876" s="35" t="s">
        <v>4847</v>
      </c>
      <c r="I876" s="35" t="s">
        <v>2505</v>
      </c>
      <c r="J876" s="43" t="s">
        <v>5236</v>
      </c>
      <c r="K876" s="43" t="s">
        <v>3181</v>
      </c>
      <c r="L876" s="30">
        <v>10000</v>
      </c>
      <c r="M876" s="30">
        <v>0</v>
      </c>
      <c r="N876" s="30">
        <f>5000+5000</f>
        <v>10000</v>
      </c>
      <c r="O876" s="30">
        <f t="shared" si="15"/>
        <v>0</v>
      </c>
      <c r="P876" s="43" t="s">
        <v>2874</v>
      </c>
    </row>
    <row r="877" spans="2:16" s="54" customFormat="1" x14ac:dyDescent="0.35">
      <c r="B877" s="35" t="s">
        <v>4770</v>
      </c>
      <c r="C877" s="80" t="s">
        <v>4769</v>
      </c>
      <c r="D877" s="36">
        <v>45327</v>
      </c>
      <c r="E877" s="36">
        <v>45337</v>
      </c>
      <c r="F877" s="36">
        <v>47163</v>
      </c>
      <c r="G877" s="64" t="s">
        <v>5683</v>
      </c>
      <c r="H877" s="35" t="s">
        <v>4843</v>
      </c>
      <c r="I877" s="35" t="s">
        <v>2531</v>
      </c>
      <c r="J877" s="43" t="s">
        <v>4824</v>
      </c>
      <c r="K877" s="43" t="s">
        <v>2587</v>
      </c>
      <c r="L877" s="30">
        <v>2250</v>
      </c>
      <c r="M877" s="30">
        <v>2250</v>
      </c>
      <c r="N877" s="30">
        <v>0</v>
      </c>
      <c r="O877" s="30">
        <f t="shared" si="15"/>
        <v>0</v>
      </c>
      <c r="P877" s="44">
        <v>1.3</v>
      </c>
    </row>
    <row r="878" spans="2:16" s="54" customFormat="1" x14ac:dyDescent="0.35">
      <c r="B878" s="35" t="s">
        <v>4768</v>
      </c>
      <c r="C878" s="80" t="s">
        <v>4767</v>
      </c>
      <c r="D878" s="36">
        <v>45327</v>
      </c>
      <c r="E878" s="36">
        <v>45337</v>
      </c>
      <c r="F878" s="36">
        <v>47163</v>
      </c>
      <c r="G878" s="64" t="s">
        <v>6</v>
      </c>
      <c r="H878" s="35" t="s">
        <v>4843</v>
      </c>
      <c r="I878" s="35" t="s">
        <v>2531</v>
      </c>
      <c r="J878" s="43" t="s">
        <v>4824</v>
      </c>
      <c r="K878" s="43" t="s">
        <v>2591</v>
      </c>
      <c r="L878" s="30">
        <v>25000</v>
      </c>
      <c r="M878" s="30">
        <v>0</v>
      </c>
      <c r="N878" s="30">
        <f>25000</f>
        <v>25000</v>
      </c>
      <c r="O878" s="30">
        <f t="shared" si="15"/>
        <v>0</v>
      </c>
      <c r="P878" s="44">
        <v>1.3</v>
      </c>
    </row>
    <row r="879" spans="2:16" s="54" customFormat="1" x14ac:dyDescent="0.35">
      <c r="B879" s="35" t="s">
        <v>4766</v>
      </c>
      <c r="C879" s="80" t="s">
        <v>4765</v>
      </c>
      <c r="D879" s="36">
        <v>45140</v>
      </c>
      <c r="E879" s="36">
        <v>45337</v>
      </c>
      <c r="F879" s="36">
        <v>45473</v>
      </c>
      <c r="G879" s="64" t="s">
        <v>6</v>
      </c>
      <c r="H879" s="35" t="s">
        <v>4844</v>
      </c>
      <c r="I879" s="35" t="s">
        <v>2480</v>
      </c>
      <c r="J879" s="43" t="s">
        <v>4817</v>
      </c>
      <c r="K879" s="43" t="s">
        <v>5558</v>
      </c>
      <c r="L879" s="30">
        <v>10000</v>
      </c>
      <c r="M879" s="30">
        <v>0</v>
      </c>
      <c r="N879" s="30">
        <f>5000+5000</f>
        <v>10000</v>
      </c>
      <c r="O879" s="30">
        <f t="shared" si="15"/>
        <v>0</v>
      </c>
      <c r="P879" s="43" t="s">
        <v>2977</v>
      </c>
    </row>
    <row r="880" spans="2:16" s="54" customFormat="1" x14ac:dyDescent="0.35">
      <c r="B880" s="35" t="s">
        <v>4766</v>
      </c>
      <c r="C880" s="80" t="s">
        <v>4802</v>
      </c>
      <c r="D880" s="36">
        <v>45140</v>
      </c>
      <c r="E880" s="36">
        <v>45338</v>
      </c>
      <c r="F880" s="36">
        <v>45473</v>
      </c>
      <c r="G880" s="64" t="s">
        <v>6</v>
      </c>
      <c r="H880" s="35" t="s">
        <v>4848</v>
      </c>
      <c r="I880" s="35" t="s">
        <v>2480</v>
      </c>
      <c r="J880" s="43" t="s">
        <v>4825</v>
      </c>
      <c r="K880" s="43" t="s">
        <v>5558</v>
      </c>
      <c r="L880" s="30">
        <v>20000</v>
      </c>
      <c r="M880" s="30">
        <v>0</v>
      </c>
      <c r="N880" s="30">
        <f>10000+10000</f>
        <v>20000</v>
      </c>
      <c r="O880" s="30">
        <f t="shared" si="15"/>
        <v>0</v>
      </c>
      <c r="P880" s="43" t="s">
        <v>2977</v>
      </c>
    </row>
    <row r="881" spans="2:16" s="54" customFormat="1" ht="29" x14ac:dyDescent="0.35">
      <c r="B881" s="35" t="s">
        <v>4111</v>
      </c>
      <c r="C881" s="80" t="s">
        <v>4760</v>
      </c>
      <c r="D881" s="36">
        <v>45140</v>
      </c>
      <c r="E881" s="36">
        <v>45341</v>
      </c>
      <c r="F881" s="36">
        <v>46071</v>
      </c>
      <c r="G881" s="64" t="s">
        <v>6</v>
      </c>
      <c r="H881" s="35" t="s">
        <v>4850</v>
      </c>
      <c r="I881" s="35" t="s">
        <v>2482</v>
      </c>
      <c r="J881" s="43" t="s">
        <v>4808</v>
      </c>
      <c r="K881" s="43" t="s">
        <v>3555</v>
      </c>
      <c r="L881" s="30">
        <v>20000</v>
      </c>
      <c r="M881" s="30">
        <v>0</v>
      </c>
      <c r="N881" s="30">
        <v>19882</v>
      </c>
      <c r="O881" s="30">
        <f t="shared" si="15"/>
        <v>118</v>
      </c>
      <c r="P881" s="43" t="s">
        <v>2874</v>
      </c>
    </row>
    <row r="882" spans="2:16" s="54" customFormat="1" x14ac:dyDescent="0.35">
      <c r="B882" s="35" t="s">
        <v>4753</v>
      </c>
      <c r="C882" s="80" t="s">
        <v>4761</v>
      </c>
      <c r="D882" s="36">
        <v>45140</v>
      </c>
      <c r="E882" s="36">
        <v>45342</v>
      </c>
      <c r="F882" s="36">
        <v>45657</v>
      </c>
      <c r="G882" s="64" t="s">
        <v>6</v>
      </c>
      <c r="H882" s="35" t="s">
        <v>4849</v>
      </c>
      <c r="I882" s="35" t="s">
        <v>2490</v>
      </c>
      <c r="J882" s="43" t="s">
        <v>5236</v>
      </c>
      <c r="K882" s="43" t="s">
        <v>3181</v>
      </c>
      <c r="L882" s="30">
        <v>10000</v>
      </c>
      <c r="M882" s="30">
        <v>0</v>
      </c>
      <c r="N882" s="30">
        <f>5000+5000</f>
        <v>10000</v>
      </c>
      <c r="O882" s="30">
        <f t="shared" si="15"/>
        <v>0</v>
      </c>
      <c r="P882" s="43" t="s">
        <v>2874</v>
      </c>
    </row>
    <row r="883" spans="2:16" s="54" customFormat="1" ht="29" x14ac:dyDescent="0.35">
      <c r="B883" s="35" t="s">
        <v>4111</v>
      </c>
      <c r="C883" s="80" t="s">
        <v>4759</v>
      </c>
      <c r="D883" s="36">
        <v>45140</v>
      </c>
      <c r="E883" s="36">
        <v>45342</v>
      </c>
      <c r="F883" s="36">
        <v>46072</v>
      </c>
      <c r="G883" s="64" t="s">
        <v>6</v>
      </c>
      <c r="H883" s="35" t="s">
        <v>4851</v>
      </c>
      <c r="I883" s="35" t="s">
        <v>2497</v>
      </c>
      <c r="J883" s="43" t="s">
        <v>4809</v>
      </c>
      <c r="K883" s="43" t="s">
        <v>3555</v>
      </c>
      <c r="L883" s="30">
        <v>11400</v>
      </c>
      <c r="M883" s="30">
        <v>0</v>
      </c>
      <c r="N883" s="30">
        <v>0</v>
      </c>
      <c r="O883" s="30">
        <f t="shared" si="15"/>
        <v>11400</v>
      </c>
      <c r="P883" s="43" t="s">
        <v>2874</v>
      </c>
    </row>
    <row r="884" spans="2:16" s="54" customFormat="1" x14ac:dyDescent="0.35">
      <c r="B884" s="35" t="s">
        <v>4753</v>
      </c>
      <c r="C884" s="80" t="s">
        <v>4758</v>
      </c>
      <c r="D884" s="36">
        <v>45140</v>
      </c>
      <c r="E884" s="36">
        <v>45342</v>
      </c>
      <c r="F884" s="36">
        <v>45808</v>
      </c>
      <c r="G884" s="64" t="s">
        <v>6</v>
      </c>
      <c r="H884" s="35" t="s">
        <v>4852</v>
      </c>
      <c r="I884" s="35" t="s">
        <v>2517</v>
      </c>
      <c r="J884" s="43" t="s">
        <v>5236</v>
      </c>
      <c r="K884" s="43" t="s">
        <v>3181</v>
      </c>
      <c r="L884" s="30">
        <v>35000</v>
      </c>
      <c r="M884" s="30">
        <v>0</v>
      </c>
      <c r="N884" s="30">
        <f>5000+5000+5000</f>
        <v>15000</v>
      </c>
      <c r="O884" s="30">
        <f t="shared" si="15"/>
        <v>20000</v>
      </c>
      <c r="P884" s="43" t="s">
        <v>2874</v>
      </c>
    </row>
    <row r="885" spans="2:16" s="54" customFormat="1" x14ac:dyDescent="0.35">
      <c r="B885" s="35" t="s">
        <v>4753</v>
      </c>
      <c r="C885" s="80" t="s">
        <v>4757</v>
      </c>
      <c r="D885" s="36">
        <v>45140</v>
      </c>
      <c r="E885" s="36">
        <v>45342</v>
      </c>
      <c r="F885" s="36">
        <v>45808</v>
      </c>
      <c r="G885" s="64" t="s">
        <v>6</v>
      </c>
      <c r="H885" s="35" t="s">
        <v>4853</v>
      </c>
      <c r="I885" s="35" t="s">
        <v>2514</v>
      </c>
      <c r="J885" s="43" t="s">
        <v>5236</v>
      </c>
      <c r="K885" s="43" t="s">
        <v>3181</v>
      </c>
      <c r="L885" s="30">
        <v>15000</v>
      </c>
      <c r="M885" s="30">
        <v>0</v>
      </c>
      <c r="N885" s="30">
        <f>5000+5000</f>
        <v>10000</v>
      </c>
      <c r="O885" s="30">
        <f t="shared" si="15"/>
        <v>5000</v>
      </c>
      <c r="P885" s="43" t="s">
        <v>2874</v>
      </c>
    </row>
    <row r="886" spans="2:16" s="54" customFormat="1" x14ac:dyDescent="0.35">
      <c r="B886" s="35" t="s">
        <v>4753</v>
      </c>
      <c r="C886" s="80" t="s">
        <v>4756</v>
      </c>
      <c r="D886" s="36">
        <v>45140</v>
      </c>
      <c r="E886" s="36">
        <v>45342</v>
      </c>
      <c r="F886" s="36">
        <v>45657</v>
      </c>
      <c r="G886" s="64" t="s">
        <v>6</v>
      </c>
      <c r="H886" s="35" t="s">
        <v>4854</v>
      </c>
      <c r="I886" s="35" t="s">
        <v>2480</v>
      </c>
      <c r="J886" s="43" t="s">
        <v>5236</v>
      </c>
      <c r="K886" s="43" t="s">
        <v>3181</v>
      </c>
      <c r="L886" s="30">
        <v>10000</v>
      </c>
      <c r="M886" s="30">
        <v>0</v>
      </c>
      <c r="N886" s="30">
        <f>5000+5000</f>
        <v>10000</v>
      </c>
      <c r="O886" s="30">
        <f t="shared" si="15"/>
        <v>0</v>
      </c>
      <c r="P886" s="43" t="s">
        <v>2874</v>
      </c>
    </row>
    <row r="887" spans="2:16" s="54" customFormat="1" x14ac:dyDescent="0.35">
      <c r="B887" s="35" t="s">
        <v>4753</v>
      </c>
      <c r="C887" s="80" t="s">
        <v>4755</v>
      </c>
      <c r="D887" s="36">
        <v>45140</v>
      </c>
      <c r="E887" s="36">
        <v>45342</v>
      </c>
      <c r="F887" s="36">
        <v>45808</v>
      </c>
      <c r="G887" s="64" t="s">
        <v>6</v>
      </c>
      <c r="H887" s="35" t="s">
        <v>4855</v>
      </c>
      <c r="I887" s="35" t="s">
        <v>4801</v>
      </c>
      <c r="J887" s="43" t="s">
        <v>5236</v>
      </c>
      <c r="K887" s="43" t="s">
        <v>3181</v>
      </c>
      <c r="L887" s="30">
        <v>15000</v>
      </c>
      <c r="M887" s="30">
        <v>0</v>
      </c>
      <c r="N887" s="30">
        <f>5000+5000+5000</f>
        <v>15000</v>
      </c>
      <c r="O887" s="30">
        <f t="shared" si="15"/>
        <v>0</v>
      </c>
      <c r="P887" s="43" t="s">
        <v>2874</v>
      </c>
    </row>
    <row r="888" spans="2:16" s="54" customFormat="1" x14ac:dyDescent="0.35">
      <c r="B888" s="35" t="s">
        <v>4753</v>
      </c>
      <c r="C888" s="80" t="s">
        <v>4754</v>
      </c>
      <c r="D888" s="36">
        <v>45140</v>
      </c>
      <c r="E888" s="36">
        <v>45342</v>
      </c>
      <c r="F888" s="36">
        <v>46538</v>
      </c>
      <c r="G888" s="64" t="s">
        <v>6</v>
      </c>
      <c r="H888" s="35" t="s">
        <v>4856</v>
      </c>
      <c r="I888" s="35" t="s">
        <v>2478</v>
      </c>
      <c r="J888" s="43" t="s">
        <v>5236</v>
      </c>
      <c r="K888" s="43" t="s">
        <v>3181</v>
      </c>
      <c r="L888" s="30">
        <v>35000</v>
      </c>
      <c r="M888" s="30">
        <v>0</v>
      </c>
      <c r="N888" s="30">
        <f>5000+5000</f>
        <v>10000</v>
      </c>
      <c r="O888" s="30">
        <f t="shared" si="15"/>
        <v>25000</v>
      </c>
      <c r="P888" s="43" t="s">
        <v>2874</v>
      </c>
    </row>
    <row r="889" spans="2:16" s="54" customFormat="1" x14ac:dyDescent="0.35">
      <c r="B889" s="35" t="s">
        <v>4753</v>
      </c>
      <c r="C889" s="80" t="s">
        <v>4752</v>
      </c>
      <c r="D889" s="36">
        <v>45140</v>
      </c>
      <c r="E889" s="36">
        <v>45344</v>
      </c>
      <c r="F889" s="36">
        <v>46752</v>
      </c>
      <c r="G889" s="64" t="s">
        <v>6</v>
      </c>
      <c r="H889" s="35" t="s">
        <v>4857</v>
      </c>
      <c r="I889" s="35" t="s">
        <v>2492</v>
      </c>
      <c r="J889" s="43" t="s">
        <v>5236</v>
      </c>
      <c r="K889" s="43" t="s">
        <v>3181</v>
      </c>
      <c r="L889" s="30">
        <v>40000</v>
      </c>
      <c r="M889" s="30">
        <v>0</v>
      </c>
      <c r="N889" s="30">
        <f>5000+5000+5000</f>
        <v>15000</v>
      </c>
      <c r="O889" s="30">
        <f t="shared" si="15"/>
        <v>25000</v>
      </c>
      <c r="P889" s="43" t="s">
        <v>2874</v>
      </c>
    </row>
    <row r="890" spans="2:16" s="54" customFormat="1" x14ac:dyDescent="0.35">
      <c r="B890" s="35" t="s">
        <v>4958</v>
      </c>
      <c r="C890" s="80" t="s">
        <v>4959</v>
      </c>
      <c r="D890" s="36">
        <v>45365</v>
      </c>
      <c r="E890" s="36">
        <v>45345</v>
      </c>
      <c r="F890" s="36">
        <v>47171</v>
      </c>
      <c r="G890" s="64" t="s">
        <v>6</v>
      </c>
      <c r="H890" s="35" t="s">
        <v>406</v>
      </c>
      <c r="I890" s="35" t="s">
        <v>2516</v>
      </c>
      <c r="J890" s="43" t="s">
        <v>5071</v>
      </c>
      <c r="K890" s="43" t="s">
        <v>2586</v>
      </c>
      <c r="L890" s="30">
        <v>3000000</v>
      </c>
      <c r="M890" s="30">
        <v>0</v>
      </c>
      <c r="N890" s="30">
        <v>0</v>
      </c>
      <c r="O890" s="30">
        <f t="shared" si="15"/>
        <v>3000000</v>
      </c>
      <c r="P890" s="44">
        <v>13.61</v>
      </c>
    </row>
    <row r="891" spans="2:16" s="54" customFormat="1" x14ac:dyDescent="0.35">
      <c r="B891" s="35" t="s">
        <v>4960</v>
      </c>
      <c r="C891" s="80" t="s">
        <v>4961</v>
      </c>
      <c r="D891" s="36">
        <v>45365</v>
      </c>
      <c r="E891" s="36">
        <v>45345</v>
      </c>
      <c r="F891" s="36">
        <v>46805</v>
      </c>
      <c r="G891" s="64" t="s">
        <v>6</v>
      </c>
      <c r="H891" s="35" t="s">
        <v>406</v>
      </c>
      <c r="I891" s="35" t="s">
        <v>2516</v>
      </c>
      <c r="J891" s="43" t="s">
        <v>5071</v>
      </c>
      <c r="K891" s="43" t="s">
        <v>2655</v>
      </c>
      <c r="L891" s="30">
        <v>5000000</v>
      </c>
      <c r="M891" s="30">
        <v>0</v>
      </c>
      <c r="N891" s="30">
        <v>0</v>
      </c>
      <c r="O891" s="30">
        <f t="shared" si="15"/>
        <v>5000000</v>
      </c>
      <c r="P891" s="44">
        <v>13.61</v>
      </c>
    </row>
    <row r="892" spans="2:16" s="54" customFormat="1" x14ac:dyDescent="0.35">
      <c r="B892" s="35" t="s">
        <v>4089</v>
      </c>
      <c r="C892" s="80" t="s">
        <v>4874</v>
      </c>
      <c r="D892" s="36">
        <v>45140</v>
      </c>
      <c r="E892" s="36">
        <v>45348</v>
      </c>
      <c r="F892" s="36">
        <v>45657</v>
      </c>
      <c r="G892" s="64" t="s">
        <v>6</v>
      </c>
      <c r="H892" s="35" t="s">
        <v>4875</v>
      </c>
      <c r="I892" s="35" t="s">
        <v>2480</v>
      </c>
      <c r="J892" s="43" t="s">
        <v>4944</v>
      </c>
      <c r="K892" s="43" t="s">
        <v>2573</v>
      </c>
      <c r="L892" s="30">
        <v>1440</v>
      </c>
      <c r="M892" s="30">
        <v>0</v>
      </c>
      <c r="N892" s="30">
        <v>1440</v>
      </c>
      <c r="O892" s="30">
        <f t="shared" si="15"/>
        <v>0</v>
      </c>
      <c r="P892" s="43" t="s">
        <v>2874</v>
      </c>
    </row>
    <row r="893" spans="2:16" s="54" customFormat="1" x14ac:dyDescent="0.35">
      <c r="B893" s="35" t="s">
        <v>4089</v>
      </c>
      <c r="C893" s="80" t="s">
        <v>4876</v>
      </c>
      <c r="D893" s="36">
        <v>45140</v>
      </c>
      <c r="E893" s="36">
        <v>45348</v>
      </c>
      <c r="F893" s="36">
        <v>45657</v>
      </c>
      <c r="G893" s="64" t="s">
        <v>6</v>
      </c>
      <c r="H893" s="35" t="s">
        <v>926</v>
      </c>
      <c r="I893" s="35" t="s">
        <v>2484</v>
      </c>
      <c r="J893" s="43" t="s">
        <v>4944</v>
      </c>
      <c r="K893" s="43" t="s">
        <v>2573</v>
      </c>
      <c r="L893" s="30">
        <v>1440</v>
      </c>
      <c r="M893" s="30">
        <v>0</v>
      </c>
      <c r="N893" s="30">
        <v>1440</v>
      </c>
      <c r="O893" s="30">
        <f t="shared" si="15"/>
        <v>0</v>
      </c>
      <c r="P893" s="43" t="s">
        <v>2874</v>
      </c>
    </row>
    <row r="894" spans="2:16" s="54" customFormat="1" x14ac:dyDescent="0.35">
      <c r="B894" s="35" t="s">
        <v>4089</v>
      </c>
      <c r="C894" s="80" t="s">
        <v>4877</v>
      </c>
      <c r="D894" s="36">
        <v>45140</v>
      </c>
      <c r="E894" s="36">
        <v>45348</v>
      </c>
      <c r="F894" s="36">
        <v>45657</v>
      </c>
      <c r="G894" s="64" t="s">
        <v>6</v>
      </c>
      <c r="H894" s="35" t="s">
        <v>3608</v>
      </c>
      <c r="I894" s="35" t="s">
        <v>2480</v>
      </c>
      <c r="J894" s="43" t="s">
        <v>4944</v>
      </c>
      <c r="K894" s="43" t="s">
        <v>2573</v>
      </c>
      <c r="L894" s="30">
        <v>1440</v>
      </c>
      <c r="M894" s="30">
        <v>0</v>
      </c>
      <c r="N894" s="30">
        <v>1440</v>
      </c>
      <c r="O894" s="30">
        <f t="shared" si="15"/>
        <v>0</v>
      </c>
      <c r="P894" s="43" t="s">
        <v>2874</v>
      </c>
    </row>
    <row r="895" spans="2:16" s="54" customFormat="1" x14ac:dyDescent="0.35">
      <c r="B895" s="35" t="s">
        <v>4089</v>
      </c>
      <c r="C895" s="80" t="s">
        <v>4878</v>
      </c>
      <c r="D895" s="36">
        <v>45140</v>
      </c>
      <c r="E895" s="36">
        <v>45348</v>
      </c>
      <c r="F895" s="36">
        <v>45657</v>
      </c>
      <c r="G895" s="64" t="s">
        <v>6</v>
      </c>
      <c r="H895" s="35" t="s">
        <v>4879</v>
      </c>
      <c r="I895" s="35" t="s">
        <v>2492</v>
      </c>
      <c r="J895" s="43" t="s">
        <v>4944</v>
      </c>
      <c r="K895" s="43" t="s">
        <v>2573</v>
      </c>
      <c r="L895" s="30">
        <v>1440</v>
      </c>
      <c r="M895" s="30">
        <v>0</v>
      </c>
      <c r="N895" s="30">
        <v>1200</v>
      </c>
      <c r="O895" s="30">
        <f t="shared" si="15"/>
        <v>240</v>
      </c>
      <c r="P895" s="43" t="s">
        <v>2874</v>
      </c>
    </row>
    <row r="896" spans="2:16" s="54" customFormat="1" x14ac:dyDescent="0.35">
      <c r="B896" s="35" t="s">
        <v>4089</v>
      </c>
      <c r="C896" s="80" t="s">
        <v>4803</v>
      </c>
      <c r="D896" s="36">
        <v>45140</v>
      </c>
      <c r="E896" s="36">
        <v>45349</v>
      </c>
      <c r="F896" s="36">
        <v>45657</v>
      </c>
      <c r="G896" s="64" t="s">
        <v>6</v>
      </c>
      <c r="H896" s="35" t="s">
        <v>3682</v>
      </c>
      <c r="I896" s="35" t="s">
        <v>2485</v>
      </c>
      <c r="J896" s="43" t="s">
        <v>4826</v>
      </c>
      <c r="K896" s="43" t="s">
        <v>2573</v>
      </c>
      <c r="L896" s="30">
        <v>1440</v>
      </c>
      <c r="M896" s="30">
        <v>0</v>
      </c>
      <c r="N896" s="30">
        <v>1440</v>
      </c>
      <c r="O896" s="30">
        <f t="shared" si="15"/>
        <v>0</v>
      </c>
      <c r="P896" s="43" t="s">
        <v>2874</v>
      </c>
    </row>
    <row r="897" spans="2:16" s="54" customFormat="1" x14ac:dyDescent="0.35">
      <c r="B897" s="35" t="s">
        <v>4962</v>
      </c>
      <c r="C897" s="80" t="s">
        <v>4963</v>
      </c>
      <c r="D897" s="36">
        <v>45365</v>
      </c>
      <c r="E897" s="36">
        <v>45351</v>
      </c>
      <c r="F897" s="36">
        <v>47177</v>
      </c>
      <c r="G897" s="64" t="s">
        <v>6</v>
      </c>
      <c r="H897" s="35" t="s">
        <v>406</v>
      </c>
      <c r="I897" s="35" t="s">
        <v>2516</v>
      </c>
      <c r="J897" s="43" t="s">
        <v>5071</v>
      </c>
      <c r="K897" s="43" t="s">
        <v>2583</v>
      </c>
      <c r="L897" s="30">
        <v>220000</v>
      </c>
      <c r="M897" s="30">
        <v>0</v>
      </c>
      <c r="N897" s="30">
        <v>0</v>
      </c>
      <c r="O897" s="30">
        <f t="shared" si="15"/>
        <v>220000</v>
      </c>
      <c r="P897" s="44">
        <v>13.61</v>
      </c>
    </row>
    <row r="898" spans="2:16" s="54" customFormat="1" x14ac:dyDescent="0.35">
      <c r="B898" s="35" t="s">
        <v>4766</v>
      </c>
      <c r="C898" s="80" t="s">
        <v>4964</v>
      </c>
      <c r="D898" s="36">
        <v>45140</v>
      </c>
      <c r="E898" s="36">
        <v>45351</v>
      </c>
      <c r="F898" s="36">
        <v>45473</v>
      </c>
      <c r="G898" s="64" t="s">
        <v>5683</v>
      </c>
      <c r="H898" s="35" t="s">
        <v>4965</v>
      </c>
      <c r="I898" s="35" t="s">
        <v>2480</v>
      </c>
      <c r="J898" s="43" t="s">
        <v>5049</v>
      </c>
      <c r="K898" s="43" t="s">
        <v>5558</v>
      </c>
      <c r="L898" s="30">
        <v>25000</v>
      </c>
      <c r="M898" s="30">
        <v>50</v>
      </c>
      <c r="N898" s="30">
        <f>12500+12450</f>
        <v>24950</v>
      </c>
      <c r="O898" s="30">
        <f t="shared" si="15"/>
        <v>0</v>
      </c>
      <c r="P898" s="43" t="s">
        <v>6250</v>
      </c>
    </row>
    <row r="899" spans="2:16" s="54" customFormat="1" x14ac:dyDescent="0.35">
      <c r="B899" s="35" t="s">
        <v>4753</v>
      </c>
      <c r="C899" s="80" t="s">
        <v>4858</v>
      </c>
      <c r="D899" s="36">
        <v>45140</v>
      </c>
      <c r="E899" s="36">
        <v>45351</v>
      </c>
      <c r="F899" s="36">
        <v>46387</v>
      </c>
      <c r="G899" s="64" t="s">
        <v>6</v>
      </c>
      <c r="H899" s="35" t="s">
        <v>4859</v>
      </c>
      <c r="I899" s="35" t="s">
        <v>2485</v>
      </c>
      <c r="J899" s="43" t="s">
        <v>5236</v>
      </c>
      <c r="K899" s="43" t="s">
        <v>3181</v>
      </c>
      <c r="L899" s="30">
        <v>20000</v>
      </c>
      <c r="M899" s="30">
        <v>0</v>
      </c>
      <c r="N899" s="30">
        <f>5000+5000</f>
        <v>10000</v>
      </c>
      <c r="O899" s="30">
        <f t="shared" si="15"/>
        <v>10000</v>
      </c>
      <c r="P899" s="43" t="s">
        <v>2874</v>
      </c>
    </row>
    <row r="900" spans="2:16" s="54" customFormat="1" x14ac:dyDescent="0.35">
      <c r="B900" s="35" t="s">
        <v>4753</v>
      </c>
      <c r="C900" s="80" t="s">
        <v>4860</v>
      </c>
      <c r="D900" s="36">
        <v>45140</v>
      </c>
      <c r="E900" s="36">
        <v>45351</v>
      </c>
      <c r="F900" s="36">
        <v>46387</v>
      </c>
      <c r="G900" s="64" t="s">
        <v>6</v>
      </c>
      <c r="H900" s="35" t="s">
        <v>4861</v>
      </c>
      <c r="I900" s="35" t="s">
        <v>2540</v>
      </c>
      <c r="J900" s="43" t="s">
        <v>5236</v>
      </c>
      <c r="K900" s="43" t="s">
        <v>3181</v>
      </c>
      <c r="L900" s="30">
        <v>25000</v>
      </c>
      <c r="M900" s="30">
        <v>0</v>
      </c>
      <c r="N900" s="30">
        <f>5000+5000+5000</f>
        <v>15000</v>
      </c>
      <c r="O900" s="30">
        <f t="shared" si="15"/>
        <v>10000</v>
      </c>
      <c r="P900" s="43"/>
    </row>
    <row r="901" spans="2:16" s="54" customFormat="1" x14ac:dyDescent="0.35">
      <c r="B901" s="35" t="s">
        <v>4753</v>
      </c>
      <c r="C901" s="80" t="s">
        <v>4862</v>
      </c>
      <c r="D901" s="36">
        <v>45140</v>
      </c>
      <c r="E901" s="36">
        <v>45351</v>
      </c>
      <c r="F901" s="36">
        <v>46387</v>
      </c>
      <c r="G901" s="64" t="s">
        <v>6</v>
      </c>
      <c r="H901" s="35" t="s">
        <v>4863</v>
      </c>
      <c r="I901" s="35" t="s">
        <v>3333</v>
      </c>
      <c r="J901" s="43" t="s">
        <v>5236</v>
      </c>
      <c r="K901" s="43" t="s">
        <v>3181</v>
      </c>
      <c r="L901" s="30">
        <v>30000</v>
      </c>
      <c r="M901" s="30">
        <v>0</v>
      </c>
      <c r="N901" s="30">
        <f>5000+5000+5000</f>
        <v>15000</v>
      </c>
      <c r="O901" s="30">
        <f t="shared" si="15"/>
        <v>15000</v>
      </c>
      <c r="P901" s="43" t="s">
        <v>2874</v>
      </c>
    </row>
    <row r="902" spans="2:16" s="54" customFormat="1" x14ac:dyDescent="0.35">
      <c r="B902" s="35" t="s">
        <v>4753</v>
      </c>
      <c r="C902" s="80" t="s">
        <v>4864</v>
      </c>
      <c r="D902" s="36">
        <v>45140</v>
      </c>
      <c r="E902" s="36">
        <v>45351</v>
      </c>
      <c r="F902" s="36">
        <v>46752</v>
      </c>
      <c r="G902" s="64" t="s">
        <v>6</v>
      </c>
      <c r="H902" s="35" t="s">
        <v>4865</v>
      </c>
      <c r="I902" s="35" t="s">
        <v>2491</v>
      </c>
      <c r="J902" s="43" t="s">
        <v>5236</v>
      </c>
      <c r="K902" s="43" t="s">
        <v>3181</v>
      </c>
      <c r="L902" s="30">
        <v>40000</v>
      </c>
      <c r="M902" s="30">
        <v>0</v>
      </c>
      <c r="N902" s="30">
        <f>5000+5000</f>
        <v>10000</v>
      </c>
      <c r="O902" s="30">
        <f t="shared" si="15"/>
        <v>30000</v>
      </c>
      <c r="P902" s="43" t="s">
        <v>2874</v>
      </c>
    </row>
    <row r="903" spans="2:16" s="54" customFormat="1" x14ac:dyDescent="0.35">
      <c r="B903" s="35" t="s">
        <v>4753</v>
      </c>
      <c r="C903" s="80" t="s">
        <v>4866</v>
      </c>
      <c r="D903" s="36">
        <v>45140</v>
      </c>
      <c r="E903" s="36">
        <v>45351</v>
      </c>
      <c r="F903" s="36">
        <v>46752</v>
      </c>
      <c r="G903" s="64" t="s">
        <v>6</v>
      </c>
      <c r="H903" s="35" t="s">
        <v>4867</v>
      </c>
      <c r="I903" s="35" t="s">
        <v>2540</v>
      </c>
      <c r="J903" s="43" t="s">
        <v>5236</v>
      </c>
      <c r="K903" s="43" t="s">
        <v>3181</v>
      </c>
      <c r="L903" s="30">
        <v>40000</v>
      </c>
      <c r="M903" s="30">
        <v>0</v>
      </c>
      <c r="N903" s="30">
        <v>5000</v>
      </c>
      <c r="O903" s="30">
        <f t="shared" si="15"/>
        <v>35000</v>
      </c>
      <c r="P903" s="43" t="s">
        <v>2874</v>
      </c>
    </row>
    <row r="904" spans="2:16" s="54" customFormat="1" x14ac:dyDescent="0.35">
      <c r="B904" s="35" t="s">
        <v>4869</v>
      </c>
      <c r="C904" s="80" t="s">
        <v>4870</v>
      </c>
      <c r="D904" s="36">
        <v>45327</v>
      </c>
      <c r="E904" s="36">
        <v>45351</v>
      </c>
      <c r="F904" s="36">
        <v>47177</v>
      </c>
      <c r="G904" s="64" t="s">
        <v>6</v>
      </c>
      <c r="H904" s="35" t="s">
        <v>4871</v>
      </c>
      <c r="I904" s="35" t="s">
        <v>2474</v>
      </c>
      <c r="J904" s="43" t="s">
        <v>4546</v>
      </c>
      <c r="K904" s="43" t="s">
        <v>2586</v>
      </c>
      <c r="L904" s="30">
        <v>5000000</v>
      </c>
      <c r="M904" s="30">
        <v>0</v>
      </c>
      <c r="N904" s="30">
        <f>2800000</f>
        <v>2800000</v>
      </c>
      <c r="O904" s="30">
        <f t="shared" si="15"/>
        <v>2200000</v>
      </c>
      <c r="P904" s="43">
        <v>16.37</v>
      </c>
    </row>
    <row r="905" spans="2:16" s="54" customFormat="1" x14ac:dyDescent="0.35">
      <c r="B905" s="35" t="s">
        <v>4089</v>
      </c>
      <c r="C905" s="80" t="s">
        <v>4872</v>
      </c>
      <c r="D905" s="36">
        <v>45140</v>
      </c>
      <c r="E905" s="36">
        <v>45351</v>
      </c>
      <c r="F905" s="36">
        <v>45657</v>
      </c>
      <c r="G905" s="64" t="s">
        <v>6</v>
      </c>
      <c r="H905" s="35" t="s">
        <v>4873</v>
      </c>
      <c r="I905" s="35" t="s">
        <v>2479</v>
      </c>
      <c r="J905" s="43" t="s">
        <v>4826</v>
      </c>
      <c r="K905" s="43" t="s">
        <v>2573</v>
      </c>
      <c r="L905" s="30">
        <v>1440</v>
      </c>
      <c r="M905" s="30">
        <v>0</v>
      </c>
      <c r="N905" s="30">
        <v>1440</v>
      </c>
      <c r="O905" s="30">
        <f t="shared" si="15"/>
        <v>0</v>
      </c>
      <c r="P905" s="43" t="s">
        <v>2874</v>
      </c>
    </row>
    <row r="906" spans="2:16" s="54" customFormat="1" x14ac:dyDescent="0.35">
      <c r="B906" s="35" t="s">
        <v>4089</v>
      </c>
      <c r="C906" s="80" t="s">
        <v>4880</v>
      </c>
      <c r="D906" s="36">
        <v>45140</v>
      </c>
      <c r="E906" s="36">
        <v>45355</v>
      </c>
      <c r="F906" s="36">
        <v>45657</v>
      </c>
      <c r="G906" s="64" t="s">
        <v>6</v>
      </c>
      <c r="H906" s="35" t="s">
        <v>3321</v>
      </c>
      <c r="I906" s="35" t="s">
        <v>2502</v>
      </c>
      <c r="J906" s="43" t="s">
        <v>4945</v>
      </c>
      <c r="K906" s="43" t="s">
        <v>2573</v>
      </c>
      <c r="L906" s="30">
        <v>1440</v>
      </c>
      <c r="M906" s="30">
        <v>0</v>
      </c>
      <c r="N906" s="30">
        <v>1440</v>
      </c>
      <c r="O906" s="30">
        <f t="shared" si="15"/>
        <v>0</v>
      </c>
      <c r="P906" s="43" t="s">
        <v>2874</v>
      </c>
    </row>
    <row r="907" spans="2:16" s="54" customFormat="1" x14ac:dyDescent="0.35">
      <c r="B907" s="35" t="s">
        <v>4089</v>
      </c>
      <c r="C907" s="80" t="s">
        <v>4881</v>
      </c>
      <c r="D907" s="36">
        <v>45140</v>
      </c>
      <c r="E907" s="36">
        <v>45355</v>
      </c>
      <c r="F907" s="36">
        <v>45657</v>
      </c>
      <c r="G907" s="64" t="s">
        <v>6</v>
      </c>
      <c r="H907" s="35" t="s">
        <v>31</v>
      </c>
      <c r="I907" s="35" t="s">
        <v>2480</v>
      </c>
      <c r="J907" s="43" t="s">
        <v>4945</v>
      </c>
      <c r="K907" s="43" t="s">
        <v>2573</v>
      </c>
      <c r="L907" s="30">
        <v>1440</v>
      </c>
      <c r="M907" s="30">
        <v>0</v>
      </c>
      <c r="N907" s="30">
        <v>1440</v>
      </c>
      <c r="O907" s="30">
        <f t="shared" si="15"/>
        <v>0</v>
      </c>
      <c r="P907" s="43" t="s">
        <v>2874</v>
      </c>
    </row>
    <row r="908" spans="2:16" s="54" customFormat="1" x14ac:dyDescent="0.35">
      <c r="B908" s="35" t="s">
        <v>4089</v>
      </c>
      <c r="C908" s="80" t="s">
        <v>4882</v>
      </c>
      <c r="D908" s="36">
        <v>45140</v>
      </c>
      <c r="E908" s="36">
        <v>45355</v>
      </c>
      <c r="F908" s="36">
        <v>45657</v>
      </c>
      <c r="G908" s="64" t="s">
        <v>6</v>
      </c>
      <c r="H908" s="35" t="s">
        <v>4883</v>
      </c>
      <c r="I908" s="35" t="s">
        <v>2522</v>
      </c>
      <c r="J908" s="43" t="s">
        <v>4945</v>
      </c>
      <c r="K908" s="43" t="s">
        <v>2573</v>
      </c>
      <c r="L908" s="30">
        <v>1440</v>
      </c>
      <c r="M908" s="30">
        <v>0</v>
      </c>
      <c r="N908" s="30">
        <v>1440</v>
      </c>
      <c r="O908" s="30">
        <f t="shared" si="15"/>
        <v>0</v>
      </c>
      <c r="P908" s="43" t="s">
        <v>2874</v>
      </c>
    </row>
    <row r="909" spans="2:16" s="54" customFormat="1" x14ac:dyDescent="0.35">
      <c r="B909" s="35" t="s">
        <v>4089</v>
      </c>
      <c r="C909" s="80" t="s">
        <v>4884</v>
      </c>
      <c r="D909" s="36">
        <v>45140</v>
      </c>
      <c r="E909" s="36">
        <v>45355</v>
      </c>
      <c r="F909" s="36">
        <v>45657</v>
      </c>
      <c r="G909" s="64" t="s">
        <v>6</v>
      </c>
      <c r="H909" s="35" t="s">
        <v>4885</v>
      </c>
      <c r="I909" s="35" t="s">
        <v>2498</v>
      </c>
      <c r="J909" s="43" t="s">
        <v>4945</v>
      </c>
      <c r="K909" s="43" t="s">
        <v>2573</v>
      </c>
      <c r="L909" s="30">
        <v>1440</v>
      </c>
      <c r="M909" s="30">
        <v>0</v>
      </c>
      <c r="N909" s="30">
        <v>1440</v>
      </c>
      <c r="O909" s="30">
        <f t="shared" si="15"/>
        <v>0</v>
      </c>
      <c r="P909" s="43" t="s">
        <v>2874</v>
      </c>
    </row>
    <row r="910" spans="2:16" s="54" customFormat="1" x14ac:dyDescent="0.35">
      <c r="B910" s="35" t="s">
        <v>4089</v>
      </c>
      <c r="C910" s="80" t="s">
        <v>4886</v>
      </c>
      <c r="D910" s="36">
        <v>45140</v>
      </c>
      <c r="E910" s="36">
        <v>45355</v>
      </c>
      <c r="F910" s="36">
        <v>45657</v>
      </c>
      <c r="G910" s="64" t="s">
        <v>6</v>
      </c>
      <c r="H910" s="35" t="s">
        <v>3076</v>
      </c>
      <c r="I910" s="35" t="s">
        <v>3491</v>
      </c>
      <c r="J910" s="43" t="s">
        <v>4945</v>
      </c>
      <c r="K910" s="43" t="s">
        <v>2573</v>
      </c>
      <c r="L910" s="30">
        <v>1440</v>
      </c>
      <c r="M910" s="30">
        <v>0</v>
      </c>
      <c r="N910" s="30">
        <v>1320</v>
      </c>
      <c r="O910" s="30">
        <f t="shared" si="15"/>
        <v>120</v>
      </c>
      <c r="P910" s="43" t="s">
        <v>2874</v>
      </c>
    </row>
    <row r="911" spans="2:16" s="54" customFormat="1" x14ac:dyDescent="0.35">
      <c r="B911" s="35" t="s">
        <v>4089</v>
      </c>
      <c r="C911" s="80" t="s">
        <v>4887</v>
      </c>
      <c r="D911" s="36">
        <v>45140</v>
      </c>
      <c r="E911" s="36">
        <v>45355</v>
      </c>
      <c r="F911" s="36">
        <v>45657</v>
      </c>
      <c r="G911" s="64" t="s">
        <v>6</v>
      </c>
      <c r="H911" s="35" t="s">
        <v>4888</v>
      </c>
      <c r="I911" s="35" t="s">
        <v>3491</v>
      </c>
      <c r="J911" s="43" t="s">
        <v>4945</v>
      </c>
      <c r="K911" s="43" t="s">
        <v>2573</v>
      </c>
      <c r="L911" s="30">
        <v>1440</v>
      </c>
      <c r="M911" s="30">
        <v>0</v>
      </c>
      <c r="N911" s="30">
        <v>1440</v>
      </c>
      <c r="O911" s="30">
        <f t="shared" si="15"/>
        <v>0</v>
      </c>
      <c r="P911" s="43" t="s">
        <v>2874</v>
      </c>
    </row>
    <row r="912" spans="2:16" s="54" customFormat="1" x14ac:dyDescent="0.35">
      <c r="B912" s="35" t="s">
        <v>4089</v>
      </c>
      <c r="C912" s="80" t="s">
        <v>4889</v>
      </c>
      <c r="D912" s="36">
        <v>45140</v>
      </c>
      <c r="E912" s="36">
        <v>45355</v>
      </c>
      <c r="F912" s="36">
        <v>45657</v>
      </c>
      <c r="G912" s="64" t="s">
        <v>6</v>
      </c>
      <c r="H912" s="35" t="s">
        <v>4890</v>
      </c>
      <c r="I912" s="35" t="s">
        <v>3491</v>
      </c>
      <c r="J912" s="43" t="s">
        <v>4945</v>
      </c>
      <c r="K912" s="43" t="s">
        <v>2573</v>
      </c>
      <c r="L912" s="30">
        <v>1440</v>
      </c>
      <c r="M912" s="30">
        <v>0</v>
      </c>
      <c r="N912" s="30">
        <v>1440</v>
      </c>
      <c r="O912" s="30">
        <f t="shared" si="15"/>
        <v>0</v>
      </c>
      <c r="P912" s="43" t="s">
        <v>2874</v>
      </c>
    </row>
    <row r="913" spans="2:16" s="54" customFormat="1" x14ac:dyDescent="0.35">
      <c r="B913" s="35" t="s">
        <v>4089</v>
      </c>
      <c r="C913" s="80" t="s">
        <v>4891</v>
      </c>
      <c r="D913" s="36">
        <v>45140</v>
      </c>
      <c r="E913" s="36">
        <v>45355</v>
      </c>
      <c r="F913" s="36">
        <v>45657</v>
      </c>
      <c r="G913" s="64" t="s">
        <v>6</v>
      </c>
      <c r="H913" s="35" t="s">
        <v>4892</v>
      </c>
      <c r="I913" s="35" t="s">
        <v>3086</v>
      </c>
      <c r="J913" s="43" t="s">
        <v>4945</v>
      </c>
      <c r="K913" s="43" t="s">
        <v>2573</v>
      </c>
      <c r="L913" s="30">
        <v>1440</v>
      </c>
      <c r="M913" s="30">
        <v>0</v>
      </c>
      <c r="N913" s="30">
        <v>1440</v>
      </c>
      <c r="O913" s="30">
        <f t="shared" si="15"/>
        <v>0</v>
      </c>
      <c r="P913" s="43" t="s">
        <v>2874</v>
      </c>
    </row>
    <row r="914" spans="2:16" s="54" customFormat="1" x14ac:dyDescent="0.35">
      <c r="B914" s="35" t="s">
        <v>4089</v>
      </c>
      <c r="C914" s="80" t="s">
        <v>4893</v>
      </c>
      <c r="D914" s="36">
        <v>45140</v>
      </c>
      <c r="E914" s="36">
        <v>45355</v>
      </c>
      <c r="F914" s="36">
        <v>45657</v>
      </c>
      <c r="G914" s="64" t="s">
        <v>6</v>
      </c>
      <c r="H914" s="35" t="s">
        <v>39</v>
      </c>
      <c r="I914" s="35" t="s">
        <v>2481</v>
      </c>
      <c r="J914" s="43" t="s">
        <v>4945</v>
      </c>
      <c r="K914" s="43" t="s">
        <v>2573</v>
      </c>
      <c r="L914" s="30">
        <v>1440</v>
      </c>
      <c r="M914" s="30">
        <v>0</v>
      </c>
      <c r="N914" s="30">
        <v>1440</v>
      </c>
      <c r="O914" s="30">
        <f t="shared" si="15"/>
        <v>0</v>
      </c>
      <c r="P914" s="43" t="s">
        <v>2874</v>
      </c>
    </row>
    <row r="915" spans="2:16" s="54" customFormat="1" x14ac:dyDescent="0.35">
      <c r="B915" s="35" t="s">
        <v>4089</v>
      </c>
      <c r="C915" s="80" t="s">
        <v>4896</v>
      </c>
      <c r="D915" s="36">
        <v>45140</v>
      </c>
      <c r="E915" s="36">
        <v>45355</v>
      </c>
      <c r="F915" s="36">
        <v>45657</v>
      </c>
      <c r="G915" s="64" t="s">
        <v>6</v>
      </c>
      <c r="H915" s="35" t="s">
        <v>4143</v>
      </c>
      <c r="I915" s="35" t="s">
        <v>2816</v>
      </c>
      <c r="J915" s="43" t="s">
        <v>4945</v>
      </c>
      <c r="K915" s="43" t="s">
        <v>2573</v>
      </c>
      <c r="L915" s="30">
        <v>1440</v>
      </c>
      <c r="M915" s="30">
        <v>0</v>
      </c>
      <c r="N915" s="30">
        <v>1440</v>
      </c>
      <c r="O915" s="30">
        <f t="shared" si="15"/>
        <v>0</v>
      </c>
      <c r="P915" s="43" t="s">
        <v>2874</v>
      </c>
    </row>
    <row r="916" spans="2:16" s="54" customFormat="1" x14ac:dyDescent="0.35">
      <c r="B916" s="35" t="s">
        <v>4753</v>
      </c>
      <c r="C916" s="80" t="s">
        <v>4894</v>
      </c>
      <c r="D916" s="36">
        <v>45140</v>
      </c>
      <c r="E916" s="36">
        <v>45356</v>
      </c>
      <c r="F916" s="36">
        <v>45808</v>
      </c>
      <c r="G916" s="64" t="s">
        <v>6</v>
      </c>
      <c r="H916" s="35" t="s">
        <v>4895</v>
      </c>
      <c r="I916" s="35" t="s">
        <v>2492</v>
      </c>
      <c r="J916" s="43" t="s">
        <v>5236</v>
      </c>
      <c r="K916" s="43" t="s">
        <v>3181</v>
      </c>
      <c r="L916" s="30">
        <v>15000</v>
      </c>
      <c r="M916" s="30">
        <v>0</v>
      </c>
      <c r="N916" s="30">
        <f>5000+5000+5000</f>
        <v>15000</v>
      </c>
      <c r="O916" s="30">
        <f t="shared" si="15"/>
        <v>0</v>
      </c>
      <c r="P916" s="43" t="s">
        <v>2874</v>
      </c>
    </row>
    <row r="917" spans="2:16" s="54" customFormat="1" x14ac:dyDescent="0.35">
      <c r="B917" s="35" t="s">
        <v>4089</v>
      </c>
      <c r="C917" s="80" t="s">
        <v>5391</v>
      </c>
      <c r="D917" s="36">
        <v>45140</v>
      </c>
      <c r="E917" s="36">
        <v>45356</v>
      </c>
      <c r="F917" s="36">
        <v>45657</v>
      </c>
      <c r="G917" s="64" t="s">
        <v>6</v>
      </c>
      <c r="H917" s="35" t="s">
        <v>5679</v>
      </c>
      <c r="I917" s="35" t="s">
        <v>2522</v>
      </c>
      <c r="J917" s="43" t="s">
        <v>5392</v>
      </c>
      <c r="K917" s="43" t="s">
        <v>2573</v>
      </c>
      <c r="L917" s="30">
        <v>1440</v>
      </c>
      <c r="M917" s="30">
        <v>0</v>
      </c>
      <c r="N917" s="30">
        <v>1440</v>
      </c>
      <c r="O917" s="30">
        <f t="shared" si="15"/>
        <v>0</v>
      </c>
      <c r="P917" s="43" t="s">
        <v>2874</v>
      </c>
    </row>
    <row r="918" spans="2:16" s="54" customFormat="1" x14ac:dyDescent="0.35">
      <c r="B918" s="35" t="s">
        <v>5565</v>
      </c>
      <c r="C918" s="80" t="s">
        <v>5566</v>
      </c>
      <c r="D918" s="36">
        <v>45334</v>
      </c>
      <c r="E918" s="36">
        <v>45357</v>
      </c>
      <c r="F918" s="36">
        <v>46451</v>
      </c>
      <c r="G918" s="64" t="s">
        <v>6</v>
      </c>
      <c r="H918" s="35" t="s">
        <v>5567</v>
      </c>
      <c r="I918" s="35" t="s">
        <v>2481</v>
      </c>
      <c r="J918" s="43" t="s">
        <v>5075</v>
      </c>
      <c r="K918" s="43" t="s">
        <v>2583</v>
      </c>
      <c r="L918" s="30">
        <v>12000</v>
      </c>
      <c r="M918" s="30">
        <v>0</v>
      </c>
      <c r="N918" s="30">
        <v>0</v>
      </c>
      <c r="O918" s="30">
        <f t="shared" si="15"/>
        <v>12000</v>
      </c>
      <c r="P918" s="44">
        <v>8.5399999999999991</v>
      </c>
    </row>
    <row r="919" spans="2:16" s="54" customFormat="1" x14ac:dyDescent="0.35">
      <c r="B919" s="35" t="s">
        <v>5568</v>
      </c>
      <c r="C919" s="80" t="s">
        <v>5569</v>
      </c>
      <c r="D919" s="36">
        <v>45334</v>
      </c>
      <c r="E919" s="36">
        <v>45357</v>
      </c>
      <c r="F919" s="36">
        <v>47182</v>
      </c>
      <c r="G919" s="64" t="s">
        <v>6</v>
      </c>
      <c r="H919" s="35" t="s">
        <v>5567</v>
      </c>
      <c r="I919" s="35" t="s">
        <v>2481</v>
      </c>
      <c r="J919" s="43" t="s">
        <v>5075</v>
      </c>
      <c r="K919" s="43" t="s">
        <v>2586</v>
      </c>
      <c r="L919" s="30">
        <v>18000</v>
      </c>
      <c r="M919" s="30">
        <v>0</v>
      </c>
      <c r="N919" s="30">
        <v>0</v>
      </c>
      <c r="O919" s="30">
        <f t="shared" si="15"/>
        <v>18000</v>
      </c>
      <c r="P919" s="44">
        <v>8.5399999999999991</v>
      </c>
    </row>
    <row r="920" spans="2:16" s="54" customFormat="1" x14ac:dyDescent="0.35">
      <c r="B920" s="35" t="s">
        <v>4766</v>
      </c>
      <c r="C920" s="80" t="s">
        <v>4897</v>
      </c>
      <c r="D920" s="36">
        <v>45140</v>
      </c>
      <c r="E920" s="36">
        <v>45359</v>
      </c>
      <c r="F920" s="36">
        <v>45473</v>
      </c>
      <c r="G920" s="64" t="s">
        <v>6</v>
      </c>
      <c r="H920" s="35" t="s">
        <v>4898</v>
      </c>
      <c r="I920" s="35" t="s">
        <v>4801</v>
      </c>
      <c r="J920" s="43" t="s">
        <v>4946</v>
      </c>
      <c r="K920" s="43" t="s">
        <v>5558</v>
      </c>
      <c r="L920" s="30">
        <v>750</v>
      </c>
      <c r="M920" s="30">
        <v>0</v>
      </c>
      <c r="N920" s="30">
        <f>375+375</f>
        <v>750</v>
      </c>
      <c r="O920" s="30">
        <f t="shared" si="15"/>
        <v>0</v>
      </c>
      <c r="P920" s="43" t="s">
        <v>2977</v>
      </c>
    </row>
    <row r="921" spans="2:16" s="54" customFormat="1" x14ac:dyDescent="0.35">
      <c r="B921" s="35" t="s">
        <v>4766</v>
      </c>
      <c r="C921" s="80" t="s">
        <v>5048</v>
      </c>
      <c r="D921" s="36">
        <v>45140</v>
      </c>
      <c r="E921" s="36">
        <v>45359</v>
      </c>
      <c r="F921" s="36">
        <v>45473</v>
      </c>
      <c r="G921" s="64" t="s">
        <v>6</v>
      </c>
      <c r="H921" s="35" t="s">
        <v>4898</v>
      </c>
      <c r="I921" s="35" t="s">
        <v>4801</v>
      </c>
      <c r="J921" s="43" t="s">
        <v>5050</v>
      </c>
      <c r="K921" s="43" t="s">
        <v>5558</v>
      </c>
      <c r="L921" s="30">
        <v>1000</v>
      </c>
      <c r="M921" s="30">
        <v>0</v>
      </c>
      <c r="N921" s="30">
        <f>500+500</f>
        <v>1000</v>
      </c>
      <c r="O921" s="30">
        <f t="shared" si="15"/>
        <v>0</v>
      </c>
      <c r="P921" s="43" t="s">
        <v>2977</v>
      </c>
    </row>
    <row r="922" spans="2:16" s="54" customFormat="1" x14ac:dyDescent="0.35">
      <c r="B922" s="35" t="s">
        <v>4766</v>
      </c>
      <c r="C922" s="80" t="s">
        <v>4966</v>
      </c>
      <c r="D922" s="36">
        <v>45140</v>
      </c>
      <c r="E922" s="36">
        <v>45362</v>
      </c>
      <c r="F922" s="36">
        <v>45473</v>
      </c>
      <c r="G922" s="64" t="s">
        <v>6</v>
      </c>
      <c r="H922" s="35" t="s">
        <v>4967</v>
      </c>
      <c r="I922" s="35" t="s">
        <v>2480</v>
      </c>
      <c r="J922" s="43" t="s">
        <v>5051</v>
      </c>
      <c r="K922" s="43" t="s">
        <v>5558</v>
      </c>
      <c r="L922" s="30">
        <v>10000</v>
      </c>
      <c r="M922" s="30">
        <v>0</v>
      </c>
      <c r="N922" s="30">
        <f>5000+4500</f>
        <v>9500</v>
      </c>
      <c r="O922" s="30">
        <f t="shared" si="15"/>
        <v>500</v>
      </c>
      <c r="P922" s="43" t="s">
        <v>2977</v>
      </c>
    </row>
    <row r="923" spans="2:16" s="54" customFormat="1" x14ac:dyDescent="0.35">
      <c r="B923" s="35" t="s">
        <v>4753</v>
      </c>
      <c r="C923" s="80" t="s">
        <v>4899</v>
      </c>
      <c r="D923" s="36">
        <v>45140</v>
      </c>
      <c r="E923" s="36">
        <v>45362</v>
      </c>
      <c r="F923" s="36">
        <v>46173</v>
      </c>
      <c r="G923" s="64" t="s">
        <v>6</v>
      </c>
      <c r="H923" s="35" t="s">
        <v>4900</v>
      </c>
      <c r="I923" s="35" t="s">
        <v>2480</v>
      </c>
      <c r="J923" s="43" t="s">
        <v>5236</v>
      </c>
      <c r="K923" s="43" t="s">
        <v>3181</v>
      </c>
      <c r="L923" s="30">
        <v>25000</v>
      </c>
      <c r="M923" s="30">
        <v>0</v>
      </c>
      <c r="N923" s="30">
        <f>5000+5000+5000</f>
        <v>15000</v>
      </c>
      <c r="O923" s="30">
        <f t="shared" ref="O923:O986" si="16">L923-M923-N923</f>
        <v>10000</v>
      </c>
      <c r="P923" s="43" t="s">
        <v>2874</v>
      </c>
    </row>
    <row r="924" spans="2:16" s="54" customFormat="1" x14ac:dyDescent="0.35">
      <c r="B924" s="35" t="s">
        <v>4089</v>
      </c>
      <c r="C924" s="80" t="s">
        <v>4901</v>
      </c>
      <c r="D924" s="36">
        <v>45140</v>
      </c>
      <c r="E924" s="36">
        <v>45362</v>
      </c>
      <c r="F924" s="36">
        <v>45657</v>
      </c>
      <c r="G924" s="64" t="s">
        <v>6</v>
      </c>
      <c r="H924" s="35" t="s">
        <v>136</v>
      </c>
      <c r="I924" s="35" t="s">
        <v>2501</v>
      </c>
      <c r="J924" s="43" t="s">
        <v>4945</v>
      </c>
      <c r="K924" s="43" t="s">
        <v>2573</v>
      </c>
      <c r="L924" s="30">
        <v>1440</v>
      </c>
      <c r="M924" s="30">
        <v>0</v>
      </c>
      <c r="N924" s="30">
        <v>1440</v>
      </c>
      <c r="O924" s="30">
        <f t="shared" si="16"/>
        <v>0</v>
      </c>
      <c r="P924" s="43" t="s">
        <v>2874</v>
      </c>
    </row>
    <row r="925" spans="2:16" s="54" customFormat="1" x14ac:dyDescent="0.35">
      <c r="B925" s="35" t="s">
        <v>4089</v>
      </c>
      <c r="C925" s="80" t="s">
        <v>4902</v>
      </c>
      <c r="D925" s="36">
        <v>45140</v>
      </c>
      <c r="E925" s="36">
        <v>45362</v>
      </c>
      <c r="F925" s="36">
        <v>45657</v>
      </c>
      <c r="G925" s="64" t="s">
        <v>6</v>
      </c>
      <c r="H925" s="35" t="s">
        <v>940</v>
      </c>
      <c r="I925" s="35" t="s">
        <v>2782</v>
      </c>
      <c r="J925" s="43" t="s">
        <v>4945</v>
      </c>
      <c r="K925" s="43" t="s">
        <v>2573</v>
      </c>
      <c r="L925" s="30">
        <v>1440</v>
      </c>
      <c r="M925" s="30">
        <v>0</v>
      </c>
      <c r="N925" s="30">
        <v>1440</v>
      </c>
      <c r="O925" s="30">
        <f t="shared" si="16"/>
        <v>0</v>
      </c>
      <c r="P925" s="43" t="s">
        <v>2874</v>
      </c>
    </row>
    <row r="926" spans="2:16" s="54" customFormat="1" x14ac:dyDescent="0.35">
      <c r="B926" s="35" t="s">
        <v>4089</v>
      </c>
      <c r="C926" s="80" t="s">
        <v>4903</v>
      </c>
      <c r="D926" s="36">
        <v>45140</v>
      </c>
      <c r="E926" s="36">
        <v>45362</v>
      </c>
      <c r="F926" s="36">
        <v>45657</v>
      </c>
      <c r="G926" s="64" t="s">
        <v>6</v>
      </c>
      <c r="H926" s="35" t="s">
        <v>4904</v>
      </c>
      <c r="I926" s="35" t="s">
        <v>3491</v>
      </c>
      <c r="J926" s="43" t="s">
        <v>4945</v>
      </c>
      <c r="K926" s="43" t="s">
        <v>2573</v>
      </c>
      <c r="L926" s="30">
        <v>1440</v>
      </c>
      <c r="M926" s="30">
        <v>0</v>
      </c>
      <c r="N926" s="30">
        <v>1440</v>
      </c>
      <c r="O926" s="30">
        <f t="shared" si="16"/>
        <v>0</v>
      </c>
      <c r="P926" s="43" t="s">
        <v>2874</v>
      </c>
    </row>
    <row r="927" spans="2:16" s="54" customFormat="1" ht="29" x14ac:dyDescent="0.35">
      <c r="B927" s="35" t="s">
        <v>5083</v>
      </c>
      <c r="C927" s="80" t="s">
        <v>5084</v>
      </c>
      <c r="D927" s="36">
        <v>45327</v>
      </c>
      <c r="E927" s="36">
        <v>45363</v>
      </c>
      <c r="F927" s="36">
        <v>47083</v>
      </c>
      <c r="G927" s="64" t="s">
        <v>6</v>
      </c>
      <c r="H927" s="35" t="s">
        <v>282</v>
      </c>
      <c r="I927" s="35" t="s">
        <v>2483</v>
      </c>
      <c r="J927" s="43" t="s">
        <v>5239</v>
      </c>
      <c r="K927" s="43" t="s">
        <v>2583</v>
      </c>
      <c r="L927" s="30">
        <v>1225000</v>
      </c>
      <c r="M927" s="30">
        <v>0</v>
      </c>
      <c r="N927" s="30">
        <f>453250+245000</f>
        <v>698250</v>
      </c>
      <c r="O927" s="30">
        <f t="shared" si="16"/>
        <v>526750</v>
      </c>
      <c r="P927" s="44">
        <v>2.6</v>
      </c>
    </row>
    <row r="928" spans="2:16" s="54" customFormat="1" ht="29" x14ac:dyDescent="0.35">
      <c r="B928" s="35" t="s">
        <v>5085</v>
      </c>
      <c r="C928" s="80" t="s">
        <v>5086</v>
      </c>
      <c r="D928" s="36">
        <v>45327</v>
      </c>
      <c r="E928" s="36">
        <v>45363</v>
      </c>
      <c r="F928" s="36">
        <v>47083</v>
      </c>
      <c r="G928" s="64" t="s">
        <v>6</v>
      </c>
      <c r="H928" s="35" t="s">
        <v>282</v>
      </c>
      <c r="I928" s="35" t="s">
        <v>2483</v>
      </c>
      <c r="J928" s="43" t="s">
        <v>5239</v>
      </c>
      <c r="K928" s="43" t="s">
        <v>2586</v>
      </c>
      <c r="L928" s="30">
        <v>126000</v>
      </c>
      <c r="M928" s="30">
        <v>0</v>
      </c>
      <c r="N928" s="30">
        <v>0</v>
      </c>
      <c r="O928" s="30">
        <f t="shared" si="16"/>
        <v>126000</v>
      </c>
      <c r="P928" s="44">
        <v>2.6</v>
      </c>
    </row>
    <row r="929" spans="2:16" s="54" customFormat="1" x14ac:dyDescent="0.35">
      <c r="B929" s="35" t="s">
        <v>4905</v>
      </c>
      <c r="C929" s="80" t="s">
        <v>4906</v>
      </c>
      <c r="D929" s="36">
        <v>45348</v>
      </c>
      <c r="E929" s="36">
        <v>45363</v>
      </c>
      <c r="F929" s="36">
        <v>47188</v>
      </c>
      <c r="G929" s="64" t="s">
        <v>6</v>
      </c>
      <c r="H929" s="35" t="s">
        <v>4907</v>
      </c>
      <c r="I929" s="35" t="s">
        <v>2483</v>
      </c>
      <c r="J929" s="43" t="s">
        <v>4954</v>
      </c>
      <c r="K929" s="43" t="s">
        <v>2583</v>
      </c>
      <c r="L929" s="30">
        <v>393750</v>
      </c>
      <c r="M929" s="30">
        <v>0</v>
      </c>
      <c r="N929" s="30">
        <f>52237.5</f>
        <v>52237.5</v>
      </c>
      <c r="O929" s="30">
        <f t="shared" si="16"/>
        <v>341512.5</v>
      </c>
      <c r="P929" s="44">
        <v>17.48</v>
      </c>
    </row>
    <row r="930" spans="2:16" s="54" customFormat="1" ht="29" x14ac:dyDescent="0.35">
      <c r="B930" s="35" t="s">
        <v>4968</v>
      </c>
      <c r="C930" s="80" t="s">
        <v>4969</v>
      </c>
      <c r="D930" s="36">
        <v>45348</v>
      </c>
      <c r="E930" s="36">
        <v>45363</v>
      </c>
      <c r="F930" s="36">
        <v>47188</v>
      </c>
      <c r="G930" s="64" t="s">
        <v>6</v>
      </c>
      <c r="H930" s="35" t="s">
        <v>4909</v>
      </c>
      <c r="I930" s="35" t="s">
        <v>2491</v>
      </c>
      <c r="J930" s="43" t="s">
        <v>4948</v>
      </c>
      <c r="K930" s="43" t="s">
        <v>2583</v>
      </c>
      <c r="L930" s="30">
        <v>18750</v>
      </c>
      <c r="M930" s="30">
        <v>0</v>
      </c>
      <c r="N930" s="30">
        <v>0</v>
      </c>
      <c r="O930" s="30">
        <f t="shared" si="16"/>
        <v>18750</v>
      </c>
      <c r="P930" s="44">
        <v>6.76</v>
      </c>
    </row>
    <row r="931" spans="2:16" s="54" customFormat="1" ht="29" x14ac:dyDescent="0.35">
      <c r="B931" s="35" t="s">
        <v>4910</v>
      </c>
      <c r="C931" s="80" t="s">
        <v>4911</v>
      </c>
      <c r="D931" s="36">
        <v>45348</v>
      </c>
      <c r="E931" s="36">
        <v>45363</v>
      </c>
      <c r="F931" s="36">
        <v>47188</v>
      </c>
      <c r="G931" s="64" t="s">
        <v>6</v>
      </c>
      <c r="H931" s="35" t="s">
        <v>1420</v>
      </c>
      <c r="I931" s="35" t="s">
        <v>2480</v>
      </c>
      <c r="J931" s="43" t="s">
        <v>4947</v>
      </c>
      <c r="K931" s="43" t="s">
        <v>2586</v>
      </c>
      <c r="L931" s="30">
        <v>26424</v>
      </c>
      <c r="M931" s="30">
        <v>0</v>
      </c>
      <c r="N931" s="30">
        <f>26424</f>
        <v>26424</v>
      </c>
      <c r="O931" s="30">
        <f t="shared" si="16"/>
        <v>0</v>
      </c>
      <c r="P931" s="44">
        <v>9.81</v>
      </c>
    </row>
    <row r="932" spans="2:16" s="54" customFormat="1" ht="29" x14ac:dyDescent="0.35">
      <c r="B932" s="35" t="s">
        <v>5089</v>
      </c>
      <c r="C932" s="80" t="s">
        <v>5090</v>
      </c>
      <c r="D932" s="36">
        <v>45334</v>
      </c>
      <c r="E932" s="36">
        <v>45363</v>
      </c>
      <c r="F932" s="36">
        <v>46457</v>
      </c>
      <c r="G932" s="64" t="s">
        <v>6</v>
      </c>
      <c r="H932" s="35" t="s">
        <v>5091</v>
      </c>
      <c r="I932" s="35" t="s">
        <v>2541</v>
      </c>
      <c r="J932" s="43" t="s">
        <v>5241</v>
      </c>
      <c r="K932" s="43" t="s">
        <v>2586</v>
      </c>
      <c r="L932" s="30">
        <v>170000</v>
      </c>
      <c r="M932" s="30">
        <v>0</v>
      </c>
      <c r="N932" s="30">
        <v>0</v>
      </c>
      <c r="O932" s="30">
        <f t="shared" si="16"/>
        <v>170000</v>
      </c>
      <c r="P932" s="44">
        <v>11.81</v>
      </c>
    </row>
    <row r="933" spans="2:16" s="54" customFormat="1" x14ac:dyDescent="0.35">
      <c r="B933" s="35" t="s">
        <v>4753</v>
      </c>
      <c r="C933" s="80" t="s">
        <v>4912</v>
      </c>
      <c r="D933" s="36">
        <v>45140</v>
      </c>
      <c r="E933" s="36">
        <v>45363</v>
      </c>
      <c r="F933" s="36">
        <v>45657</v>
      </c>
      <c r="G933" s="64" t="s">
        <v>6</v>
      </c>
      <c r="H933" s="35" t="s">
        <v>4913</v>
      </c>
      <c r="I933" s="35" t="s">
        <v>2480</v>
      </c>
      <c r="J933" s="43" t="s">
        <v>5236</v>
      </c>
      <c r="K933" s="43" t="s">
        <v>3181</v>
      </c>
      <c r="L933" s="30">
        <v>10000</v>
      </c>
      <c r="M933" s="30">
        <v>0</v>
      </c>
      <c r="N933" s="30">
        <f>5000+5000</f>
        <v>10000</v>
      </c>
      <c r="O933" s="30">
        <f t="shared" si="16"/>
        <v>0</v>
      </c>
      <c r="P933" s="43" t="s">
        <v>2874</v>
      </c>
    </row>
    <row r="934" spans="2:16" s="54" customFormat="1" x14ac:dyDescent="0.35">
      <c r="B934" s="35" t="s">
        <v>4089</v>
      </c>
      <c r="C934" s="80" t="s">
        <v>4917</v>
      </c>
      <c r="D934" s="36">
        <v>45140</v>
      </c>
      <c r="E934" s="36">
        <v>45365</v>
      </c>
      <c r="F934" s="36">
        <v>45657</v>
      </c>
      <c r="G934" s="64" t="s">
        <v>6</v>
      </c>
      <c r="H934" s="35" t="s">
        <v>3605</v>
      </c>
      <c r="I934" s="35" t="s">
        <v>2477</v>
      </c>
      <c r="J934" s="43" t="s">
        <v>4950</v>
      </c>
      <c r="K934" s="43" t="s">
        <v>2573</v>
      </c>
      <c r="L934" s="30">
        <v>1440</v>
      </c>
      <c r="M934" s="30">
        <v>0</v>
      </c>
      <c r="N934" s="30">
        <v>1440</v>
      </c>
      <c r="O934" s="30">
        <f t="shared" si="16"/>
        <v>0</v>
      </c>
      <c r="P934" s="43" t="s">
        <v>2874</v>
      </c>
    </row>
    <row r="935" spans="2:16" s="54" customFormat="1" x14ac:dyDescent="0.35">
      <c r="B935" s="35" t="s">
        <v>4089</v>
      </c>
      <c r="C935" s="80" t="s">
        <v>4918</v>
      </c>
      <c r="D935" s="36">
        <v>45140</v>
      </c>
      <c r="E935" s="36">
        <v>45365</v>
      </c>
      <c r="F935" s="36">
        <v>45657</v>
      </c>
      <c r="G935" s="64" t="s">
        <v>6</v>
      </c>
      <c r="H935" s="35" t="s">
        <v>4919</v>
      </c>
      <c r="I935" s="35" t="s">
        <v>2473</v>
      </c>
      <c r="J935" s="43" t="s">
        <v>4950</v>
      </c>
      <c r="K935" s="43" t="s">
        <v>2573</v>
      </c>
      <c r="L935" s="30">
        <v>1440</v>
      </c>
      <c r="M935" s="30">
        <v>0</v>
      </c>
      <c r="N935" s="30">
        <v>1440</v>
      </c>
      <c r="O935" s="30">
        <f t="shared" si="16"/>
        <v>0</v>
      </c>
      <c r="P935" s="43" t="s">
        <v>2874</v>
      </c>
    </row>
    <row r="936" spans="2:16" s="54" customFormat="1" x14ac:dyDescent="0.35">
      <c r="B936" s="35" t="s">
        <v>4089</v>
      </c>
      <c r="C936" s="80" t="s">
        <v>4920</v>
      </c>
      <c r="D936" s="36">
        <v>45140</v>
      </c>
      <c r="E936" s="36">
        <v>45365</v>
      </c>
      <c r="F936" s="36">
        <v>45657</v>
      </c>
      <c r="G936" s="64" t="s">
        <v>6</v>
      </c>
      <c r="H936" s="35" t="s">
        <v>3602</v>
      </c>
      <c r="I936" s="35" t="s">
        <v>2473</v>
      </c>
      <c r="J936" s="43" t="s">
        <v>4950</v>
      </c>
      <c r="K936" s="43" t="s">
        <v>2573</v>
      </c>
      <c r="L936" s="30">
        <v>1440</v>
      </c>
      <c r="M936" s="30">
        <v>0</v>
      </c>
      <c r="N936" s="30">
        <v>1440</v>
      </c>
      <c r="O936" s="30">
        <f t="shared" si="16"/>
        <v>0</v>
      </c>
      <c r="P936" s="43" t="s">
        <v>2874</v>
      </c>
    </row>
    <row r="937" spans="2:16" s="54" customFormat="1" x14ac:dyDescent="0.35">
      <c r="B937" s="35" t="s">
        <v>4089</v>
      </c>
      <c r="C937" s="80" t="s">
        <v>4921</v>
      </c>
      <c r="D937" s="36">
        <v>45140</v>
      </c>
      <c r="E937" s="36">
        <v>45365</v>
      </c>
      <c r="F937" s="36">
        <v>45657</v>
      </c>
      <c r="G937" s="64" t="s">
        <v>6</v>
      </c>
      <c r="H937" s="35" t="s">
        <v>3601</v>
      </c>
      <c r="I937" s="35" t="s">
        <v>2503</v>
      </c>
      <c r="J937" s="43" t="s">
        <v>4950</v>
      </c>
      <c r="K937" s="43" t="s">
        <v>2573</v>
      </c>
      <c r="L937" s="30">
        <v>1440</v>
      </c>
      <c r="M937" s="30">
        <v>0</v>
      </c>
      <c r="N937" s="30">
        <v>1440</v>
      </c>
      <c r="O937" s="30">
        <f t="shared" si="16"/>
        <v>0</v>
      </c>
      <c r="P937" s="43" t="s">
        <v>2874</v>
      </c>
    </row>
    <row r="938" spans="2:16" s="54" customFormat="1" x14ac:dyDescent="0.35">
      <c r="B938" s="35" t="s">
        <v>4089</v>
      </c>
      <c r="C938" s="80" t="s">
        <v>4922</v>
      </c>
      <c r="D938" s="36">
        <v>45140</v>
      </c>
      <c r="E938" s="36">
        <v>45365</v>
      </c>
      <c r="F938" s="36">
        <v>45657</v>
      </c>
      <c r="G938" s="64" t="s">
        <v>6</v>
      </c>
      <c r="H938" s="35" t="s">
        <v>4923</v>
      </c>
      <c r="I938" s="35" t="s">
        <v>2490</v>
      </c>
      <c r="J938" s="43" t="s">
        <v>4950</v>
      </c>
      <c r="K938" s="43" t="s">
        <v>2573</v>
      </c>
      <c r="L938" s="30">
        <v>1440</v>
      </c>
      <c r="M938" s="30">
        <v>0</v>
      </c>
      <c r="N938" s="30">
        <v>1440</v>
      </c>
      <c r="O938" s="30">
        <f t="shared" si="16"/>
        <v>0</v>
      </c>
      <c r="P938" s="43" t="s">
        <v>2874</v>
      </c>
    </row>
    <row r="939" spans="2:16" s="54" customFormat="1" ht="29" x14ac:dyDescent="0.35">
      <c r="B939" s="35" t="s">
        <v>4788</v>
      </c>
      <c r="C939" s="80" t="s">
        <v>4914</v>
      </c>
      <c r="D939" s="36">
        <v>45140</v>
      </c>
      <c r="E939" s="36">
        <v>45366</v>
      </c>
      <c r="F939" s="36">
        <v>45914</v>
      </c>
      <c r="G939" s="64" t="s">
        <v>6</v>
      </c>
      <c r="H939" s="35" t="s">
        <v>4915</v>
      </c>
      <c r="I939" s="35" t="s">
        <v>2474</v>
      </c>
      <c r="J939" s="43" t="s">
        <v>3803</v>
      </c>
      <c r="K939" s="43" t="s">
        <v>4819</v>
      </c>
      <c r="L939" s="30">
        <v>10000</v>
      </c>
      <c r="M939" s="30">
        <v>0</v>
      </c>
      <c r="N939" s="30">
        <v>952.5</v>
      </c>
      <c r="O939" s="30">
        <f t="shared" si="16"/>
        <v>9047.5</v>
      </c>
      <c r="P939" s="43" t="s">
        <v>2874</v>
      </c>
    </row>
    <row r="940" spans="2:16" s="54" customFormat="1" ht="29" x14ac:dyDescent="0.35">
      <c r="B940" s="35" t="s">
        <v>4788</v>
      </c>
      <c r="C940" s="80" t="s">
        <v>4916</v>
      </c>
      <c r="D940" s="36">
        <v>45140</v>
      </c>
      <c r="E940" s="36">
        <v>45366</v>
      </c>
      <c r="F940" s="36">
        <v>45914</v>
      </c>
      <c r="G940" s="64" t="s">
        <v>6</v>
      </c>
      <c r="H940" s="35" t="s">
        <v>4276</v>
      </c>
      <c r="I940" s="35" t="s">
        <v>3011</v>
      </c>
      <c r="J940" s="43" t="s">
        <v>4949</v>
      </c>
      <c r="K940" s="43" t="s">
        <v>4819</v>
      </c>
      <c r="L940" s="30">
        <v>10000</v>
      </c>
      <c r="M940" s="30">
        <v>0</v>
      </c>
      <c r="N940" s="30">
        <v>0</v>
      </c>
      <c r="O940" s="30">
        <f t="shared" si="16"/>
        <v>10000</v>
      </c>
      <c r="P940" s="43" t="s">
        <v>2874</v>
      </c>
    </row>
    <row r="941" spans="2:16" s="54" customFormat="1" x14ac:dyDescent="0.35">
      <c r="B941" s="35" t="s">
        <v>4753</v>
      </c>
      <c r="C941" s="80" t="s">
        <v>4924</v>
      </c>
      <c r="D941" s="36">
        <v>45140</v>
      </c>
      <c r="E941" s="36">
        <v>45366</v>
      </c>
      <c r="F941" s="36">
        <v>46752</v>
      </c>
      <c r="G941" s="64" t="s">
        <v>6</v>
      </c>
      <c r="H941" s="35" t="s">
        <v>4925</v>
      </c>
      <c r="I941" s="35" t="s">
        <v>2480</v>
      </c>
      <c r="J941" s="43" t="s">
        <v>5236</v>
      </c>
      <c r="K941" s="43" t="s">
        <v>3181</v>
      </c>
      <c r="L941" s="30">
        <v>40000</v>
      </c>
      <c r="M941" s="30">
        <v>0</v>
      </c>
      <c r="N941" s="30">
        <f>5000+5000+5000</f>
        <v>15000</v>
      </c>
      <c r="O941" s="30">
        <f t="shared" si="16"/>
        <v>25000</v>
      </c>
      <c r="P941" s="43" t="s">
        <v>2874</v>
      </c>
    </row>
    <row r="942" spans="2:16" s="54" customFormat="1" x14ac:dyDescent="0.35">
      <c r="B942" s="35" t="s">
        <v>4753</v>
      </c>
      <c r="C942" s="80" t="s">
        <v>4926</v>
      </c>
      <c r="D942" s="36">
        <v>45140</v>
      </c>
      <c r="E942" s="36">
        <v>45366</v>
      </c>
      <c r="F942" s="36">
        <v>46752</v>
      </c>
      <c r="G942" s="64" t="s">
        <v>6</v>
      </c>
      <c r="H942" s="35" t="s">
        <v>4927</v>
      </c>
      <c r="I942" s="35" t="s">
        <v>2474</v>
      </c>
      <c r="J942" s="43" t="s">
        <v>5236</v>
      </c>
      <c r="K942" s="43" t="s">
        <v>3181</v>
      </c>
      <c r="L942" s="30">
        <v>40000</v>
      </c>
      <c r="M942" s="30">
        <v>0</v>
      </c>
      <c r="N942" s="30">
        <f>5000+5000+5000</f>
        <v>15000</v>
      </c>
      <c r="O942" s="30">
        <f t="shared" si="16"/>
        <v>25000</v>
      </c>
      <c r="P942" s="43" t="s">
        <v>2874</v>
      </c>
    </row>
    <row r="943" spans="2:16" s="54" customFormat="1" x14ac:dyDescent="0.35">
      <c r="B943" s="35" t="s">
        <v>4753</v>
      </c>
      <c r="C943" s="80" t="s">
        <v>4928</v>
      </c>
      <c r="D943" s="36">
        <v>45140</v>
      </c>
      <c r="E943" s="36">
        <v>45366</v>
      </c>
      <c r="F943" s="36">
        <v>46173</v>
      </c>
      <c r="G943" s="64" t="s">
        <v>6</v>
      </c>
      <c r="H943" s="35" t="s">
        <v>4929</v>
      </c>
      <c r="I943" s="35" t="s">
        <v>2480</v>
      </c>
      <c r="J943" s="43" t="s">
        <v>5236</v>
      </c>
      <c r="K943" s="43" t="s">
        <v>3181</v>
      </c>
      <c r="L943" s="30">
        <v>30000</v>
      </c>
      <c r="M943" s="30">
        <v>0</v>
      </c>
      <c r="N943" s="30">
        <f>5000+5000+5000</f>
        <v>15000</v>
      </c>
      <c r="O943" s="30">
        <f t="shared" si="16"/>
        <v>15000</v>
      </c>
      <c r="P943" s="43" t="s">
        <v>2874</v>
      </c>
    </row>
    <row r="944" spans="2:16" s="54" customFormat="1" x14ac:dyDescent="0.35">
      <c r="B944" s="35" t="s">
        <v>4113</v>
      </c>
      <c r="C944" s="80" t="s">
        <v>4930</v>
      </c>
      <c r="D944" s="36">
        <v>45140</v>
      </c>
      <c r="E944" s="36">
        <v>45366</v>
      </c>
      <c r="F944" s="36">
        <v>46460</v>
      </c>
      <c r="G944" s="64" t="s">
        <v>6</v>
      </c>
      <c r="H944" s="35" t="s">
        <v>4931</v>
      </c>
      <c r="I944" s="35" t="s">
        <v>2473</v>
      </c>
      <c r="J944" s="43" t="s">
        <v>4139</v>
      </c>
      <c r="K944" s="43" t="s">
        <v>2573</v>
      </c>
      <c r="L944" s="30">
        <v>2000</v>
      </c>
      <c r="M944" s="30">
        <v>0</v>
      </c>
      <c r="N944" s="30">
        <v>2000</v>
      </c>
      <c r="O944" s="30">
        <f t="shared" si="16"/>
        <v>0</v>
      </c>
      <c r="P944" s="43" t="s">
        <v>2874</v>
      </c>
    </row>
    <row r="945" spans="2:16" s="54" customFormat="1" x14ac:dyDescent="0.35">
      <c r="B945" s="35" t="s">
        <v>4113</v>
      </c>
      <c r="C945" s="80" t="s">
        <v>4932</v>
      </c>
      <c r="D945" s="36">
        <v>45140</v>
      </c>
      <c r="E945" s="36">
        <v>45366</v>
      </c>
      <c r="F945" s="36">
        <v>46460</v>
      </c>
      <c r="G945" s="64" t="s">
        <v>6</v>
      </c>
      <c r="H945" s="35" t="s">
        <v>4933</v>
      </c>
      <c r="I945" s="35" t="s">
        <v>3333</v>
      </c>
      <c r="J945" s="43" t="s">
        <v>4618</v>
      </c>
      <c r="K945" s="43" t="s">
        <v>2573</v>
      </c>
      <c r="L945" s="30">
        <v>1000</v>
      </c>
      <c r="M945" s="30">
        <v>0</v>
      </c>
      <c r="N945" s="30">
        <v>1000</v>
      </c>
      <c r="O945" s="30">
        <f t="shared" si="16"/>
        <v>0</v>
      </c>
      <c r="P945" s="43" t="s">
        <v>2874</v>
      </c>
    </row>
    <row r="946" spans="2:16" s="54" customFormat="1" ht="29" x14ac:dyDescent="0.35">
      <c r="B946" s="35" t="s">
        <v>5096</v>
      </c>
      <c r="C946" s="80" t="s">
        <v>5097</v>
      </c>
      <c r="D946" s="36">
        <v>45348</v>
      </c>
      <c r="E946" s="36">
        <v>45368</v>
      </c>
      <c r="F946" s="36">
        <v>46462</v>
      </c>
      <c r="G946" s="64" t="s">
        <v>6</v>
      </c>
      <c r="H946" s="35" t="s">
        <v>5098</v>
      </c>
      <c r="I946" s="35" t="s">
        <v>2480</v>
      </c>
      <c r="J946" s="43" t="s">
        <v>5244</v>
      </c>
      <c r="K946" s="43" t="s">
        <v>2586</v>
      </c>
      <c r="L946" s="30">
        <v>8000</v>
      </c>
      <c r="M946" s="30">
        <v>0</v>
      </c>
      <c r="N946" s="30">
        <v>0</v>
      </c>
      <c r="O946" s="30">
        <f t="shared" si="16"/>
        <v>8000</v>
      </c>
      <c r="P946" s="44">
        <v>34.81</v>
      </c>
    </row>
    <row r="947" spans="2:16" s="54" customFormat="1" ht="29" x14ac:dyDescent="0.35">
      <c r="B947" s="35" t="s">
        <v>5099</v>
      </c>
      <c r="C947" s="80" t="s">
        <v>5100</v>
      </c>
      <c r="D947" s="36">
        <v>45348</v>
      </c>
      <c r="E947" s="36">
        <v>45368</v>
      </c>
      <c r="F947" s="36">
        <v>46462</v>
      </c>
      <c r="G947" s="64" t="s">
        <v>6</v>
      </c>
      <c r="H947" s="35" t="s">
        <v>5098</v>
      </c>
      <c r="I947" s="35" t="s">
        <v>2480</v>
      </c>
      <c r="J947" s="43" t="s">
        <v>5244</v>
      </c>
      <c r="K947" s="43" t="s">
        <v>2583</v>
      </c>
      <c r="L947" s="30">
        <v>2250</v>
      </c>
      <c r="M947" s="30">
        <v>0</v>
      </c>
      <c r="N947" s="30">
        <v>0</v>
      </c>
      <c r="O947" s="30">
        <f t="shared" si="16"/>
        <v>2250</v>
      </c>
      <c r="P947" s="44">
        <v>34.81</v>
      </c>
    </row>
    <row r="948" spans="2:16" s="54" customFormat="1" x14ac:dyDescent="0.35">
      <c r="B948" s="35" t="s">
        <v>4970</v>
      </c>
      <c r="C948" s="80" t="s">
        <v>4971</v>
      </c>
      <c r="D948" s="36">
        <v>45334</v>
      </c>
      <c r="E948" s="36">
        <v>45368</v>
      </c>
      <c r="F948" s="36">
        <v>47193</v>
      </c>
      <c r="G948" s="64" t="s">
        <v>6</v>
      </c>
      <c r="H948" s="35" t="s">
        <v>1563</v>
      </c>
      <c r="I948" s="35" t="s">
        <v>2490</v>
      </c>
      <c r="J948" s="43" t="s">
        <v>5071</v>
      </c>
      <c r="K948" s="43" t="s">
        <v>2586</v>
      </c>
      <c r="L948" s="30">
        <v>483000</v>
      </c>
      <c r="M948" s="30">
        <v>0</v>
      </c>
      <c r="N948" s="30">
        <v>0</v>
      </c>
      <c r="O948" s="30">
        <f t="shared" si="16"/>
        <v>483000</v>
      </c>
      <c r="P948" s="44">
        <v>8.7100000000000009</v>
      </c>
    </row>
    <row r="949" spans="2:16" s="54" customFormat="1" x14ac:dyDescent="0.35">
      <c r="B949" s="35" t="s">
        <v>4972</v>
      </c>
      <c r="C949" s="80" t="s">
        <v>4973</v>
      </c>
      <c r="D949" s="36">
        <v>45351</v>
      </c>
      <c r="E949" s="36">
        <v>45368</v>
      </c>
      <c r="F949" s="36">
        <v>47193</v>
      </c>
      <c r="G949" s="64" t="s">
        <v>6</v>
      </c>
      <c r="H949" s="35" t="s">
        <v>4974</v>
      </c>
      <c r="I949" s="35" t="s">
        <v>2488</v>
      </c>
      <c r="J949" s="43" t="s">
        <v>5075</v>
      </c>
      <c r="K949" s="43" t="s">
        <v>2586</v>
      </c>
      <c r="L949" s="30">
        <v>50000</v>
      </c>
      <c r="M949" s="30">
        <v>0</v>
      </c>
      <c r="N949" s="30">
        <v>0</v>
      </c>
      <c r="O949" s="30">
        <f t="shared" si="16"/>
        <v>50000</v>
      </c>
      <c r="P949" s="44">
        <v>6.58</v>
      </c>
    </row>
    <row r="950" spans="2:16" s="54" customFormat="1" x14ac:dyDescent="0.35">
      <c r="B950" s="35" t="s">
        <v>5570</v>
      </c>
      <c r="C950" s="80" t="s">
        <v>5571</v>
      </c>
      <c r="D950" s="36">
        <v>45334</v>
      </c>
      <c r="E950" s="36">
        <v>45369</v>
      </c>
      <c r="F950" s="36">
        <v>47194</v>
      </c>
      <c r="G950" s="64" t="s">
        <v>6</v>
      </c>
      <c r="H950" s="35" t="s">
        <v>5110</v>
      </c>
      <c r="I950" s="35" t="s">
        <v>2480</v>
      </c>
      <c r="J950" s="43" t="s">
        <v>4746</v>
      </c>
      <c r="K950" s="43" t="s">
        <v>2586</v>
      </c>
      <c r="L950" s="30">
        <v>105251</v>
      </c>
      <c r="M950" s="30">
        <v>0</v>
      </c>
      <c r="N950" s="30">
        <v>0</v>
      </c>
      <c r="O950" s="30">
        <f t="shared" si="16"/>
        <v>105251</v>
      </c>
      <c r="P950" s="44">
        <v>2.72</v>
      </c>
    </row>
    <row r="951" spans="2:16" s="54" customFormat="1" x14ac:dyDescent="0.35">
      <c r="B951" s="35" t="s">
        <v>4975</v>
      </c>
      <c r="C951" s="80" t="s">
        <v>4976</v>
      </c>
      <c r="D951" s="36">
        <v>45334</v>
      </c>
      <c r="E951" s="36">
        <v>45369</v>
      </c>
      <c r="F951" s="36">
        <v>43541</v>
      </c>
      <c r="G951" s="64" t="s">
        <v>6</v>
      </c>
      <c r="H951" s="35" t="s">
        <v>1940</v>
      </c>
      <c r="I951" s="35" t="s">
        <v>2480</v>
      </c>
      <c r="J951" s="43" t="s">
        <v>4748</v>
      </c>
      <c r="K951" s="43" t="s">
        <v>2583</v>
      </c>
      <c r="L951" s="30">
        <v>60000</v>
      </c>
      <c r="M951" s="30">
        <v>0</v>
      </c>
      <c r="N951" s="30">
        <v>0</v>
      </c>
      <c r="O951" s="30">
        <f t="shared" si="16"/>
        <v>60000</v>
      </c>
      <c r="P951" s="44">
        <v>9.9499999999999993</v>
      </c>
    </row>
    <row r="952" spans="2:16" s="54" customFormat="1" x14ac:dyDescent="0.35">
      <c r="B952" s="35" t="s">
        <v>4977</v>
      </c>
      <c r="C952" s="80" t="s">
        <v>4978</v>
      </c>
      <c r="D952" s="36">
        <v>45334</v>
      </c>
      <c r="E952" s="36">
        <v>45369</v>
      </c>
      <c r="F952" s="36">
        <v>47194</v>
      </c>
      <c r="G952" s="64" t="s">
        <v>6</v>
      </c>
      <c r="H952" s="35" t="s">
        <v>1940</v>
      </c>
      <c r="I952" s="35" t="s">
        <v>2480</v>
      </c>
      <c r="J952" s="43" t="s">
        <v>4748</v>
      </c>
      <c r="K952" s="43" t="s">
        <v>2586</v>
      </c>
      <c r="L952" s="30">
        <v>250500</v>
      </c>
      <c r="M952" s="30">
        <v>0</v>
      </c>
      <c r="N952" s="30">
        <v>0</v>
      </c>
      <c r="O952" s="30">
        <f t="shared" si="16"/>
        <v>250500</v>
      </c>
      <c r="P952" s="44">
        <v>9.9499999999999993</v>
      </c>
    </row>
    <row r="953" spans="2:16" s="54" customFormat="1" x14ac:dyDescent="0.35">
      <c r="B953" s="35" t="s">
        <v>4113</v>
      </c>
      <c r="C953" s="80" t="s">
        <v>4934</v>
      </c>
      <c r="D953" s="36">
        <v>45140</v>
      </c>
      <c r="E953" s="36">
        <v>45369</v>
      </c>
      <c r="F953" s="36">
        <v>46463</v>
      </c>
      <c r="G953" s="64" t="s">
        <v>6</v>
      </c>
      <c r="H953" s="35" t="s">
        <v>4935</v>
      </c>
      <c r="I953" s="35" t="s">
        <v>2535</v>
      </c>
      <c r="J953" s="43" t="s">
        <v>4141</v>
      </c>
      <c r="K953" s="43" t="s">
        <v>2573</v>
      </c>
      <c r="L953" s="30">
        <v>1000</v>
      </c>
      <c r="M953" s="30">
        <v>0</v>
      </c>
      <c r="N953" s="30">
        <v>1000</v>
      </c>
      <c r="O953" s="30">
        <f t="shared" si="16"/>
        <v>0</v>
      </c>
      <c r="P953" s="43" t="s">
        <v>2874</v>
      </c>
    </row>
    <row r="954" spans="2:16" s="54" customFormat="1" ht="29" x14ac:dyDescent="0.35">
      <c r="B954" s="35" t="s">
        <v>4089</v>
      </c>
      <c r="C954" s="80" t="s">
        <v>4936</v>
      </c>
      <c r="D954" s="36">
        <v>45140</v>
      </c>
      <c r="E954" s="36">
        <v>45369</v>
      </c>
      <c r="F954" s="36">
        <v>45730</v>
      </c>
      <c r="G954" s="64" t="s">
        <v>6</v>
      </c>
      <c r="H954" s="35" t="s">
        <v>956</v>
      </c>
      <c r="I954" s="35" t="s">
        <v>2535</v>
      </c>
      <c r="J954" s="43" t="s">
        <v>4951</v>
      </c>
      <c r="K954" s="43" t="s">
        <v>2573</v>
      </c>
      <c r="L954" s="30">
        <v>4100</v>
      </c>
      <c r="M954" s="30">
        <v>0</v>
      </c>
      <c r="N954" s="30">
        <v>4100</v>
      </c>
      <c r="O954" s="30">
        <f t="shared" si="16"/>
        <v>0</v>
      </c>
      <c r="P954" s="43" t="s">
        <v>2874</v>
      </c>
    </row>
    <row r="955" spans="2:16" s="54" customFormat="1" ht="29" x14ac:dyDescent="0.35">
      <c r="B955" s="35" t="s">
        <v>4089</v>
      </c>
      <c r="C955" s="80" t="s">
        <v>4937</v>
      </c>
      <c r="D955" s="36">
        <v>45140</v>
      </c>
      <c r="E955" s="36">
        <v>45369</v>
      </c>
      <c r="F955" s="36">
        <v>45732</v>
      </c>
      <c r="G955" s="64" t="s">
        <v>6</v>
      </c>
      <c r="H955" s="35" t="s">
        <v>973</v>
      </c>
      <c r="I955" s="35" t="s">
        <v>2504</v>
      </c>
      <c r="J955" s="43" t="s">
        <v>4952</v>
      </c>
      <c r="K955" s="43" t="s">
        <v>2573</v>
      </c>
      <c r="L955" s="30">
        <v>2300</v>
      </c>
      <c r="M955" s="30">
        <v>0</v>
      </c>
      <c r="N955" s="30">
        <f>800</f>
        <v>800</v>
      </c>
      <c r="O955" s="30">
        <f t="shared" si="16"/>
        <v>1500</v>
      </c>
      <c r="P955" s="43" t="s">
        <v>2874</v>
      </c>
    </row>
    <row r="956" spans="2:16" s="54" customFormat="1" x14ac:dyDescent="0.35">
      <c r="B956" s="35" t="s">
        <v>4753</v>
      </c>
      <c r="C956" s="80" t="s">
        <v>4938</v>
      </c>
      <c r="D956" s="36">
        <v>45140</v>
      </c>
      <c r="E956" s="36">
        <v>45369</v>
      </c>
      <c r="F956" s="36">
        <v>45808</v>
      </c>
      <c r="G956" s="64" t="s">
        <v>6</v>
      </c>
      <c r="H956" s="35" t="s">
        <v>4939</v>
      </c>
      <c r="I956" s="35" t="s">
        <v>3334</v>
      </c>
      <c r="J956" s="43" t="s">
        <v>5236</v>
      </c>
      <c r="K956" s="43" t="s">
        <v>3181</v>
      </c>
      <c r="L956" s="30">
        <v>15000</v>
      </c>
      <c r="M956" s="30">
        <v>0</v>
      </c>
      <c r="N956" s="30">
        <f>5000+5000</f>
        <v>10000</v>
      </c>
      <c r="O956" s="30">
        <f t="shared" si="16"/>
        <v>5000</v>
      </c>
      <c r="P956" s="43" t="s">
        <v>2874</v>
      </c>
    </row>
    <row r="957" spans="2:16" s="54" customFormat="1" x14ac:dyDescent="0.35">
      <c r="B957" s="35" t="s">
        <v>4753</v>
      </c>
      <c r="C957" s="80" t="s">
        <v>4940</v>
      </c>
      <c r="D957" s="36">
        <v>45140</v>
      </c>
      <c r="E957" s="36">
        <v>45369</v>
      </c>
      <c r="F957" s="36">
        <v>46387</v>
      </c>
      <c r="G957" s="64" t="s">
        <v>6</v>
      </c>
      <c r="H957" s="35" t="s">
        <v>4941</v>
      </c>
      <c r="I957" s="35" t="s">
        <v>2485</v>
      </c>
      <c r="J957" s="43" t="s">
        <v>5236</v>
      </c>
      <c r="K957" s="43" t="s">
        <v>3181</v>
      </c>
      <c r="L957" s="30">
        <v>30000</v>
      </c>
      <c r="M957" s="30">
        <v>0</v>
      </c>
      <c r="N957" s="30">
        <f>5000+5000+5000</f>
        <v>15000</v>
      </c>
      <c r="O957" s="30">
        <f t="shared" si="16"/>
        <v>15000</v>
      </c>
      <c r="P957" s="43" t="s">
        <v>2874</v>
      </c>
    </row>
    <row r="958" spans="2:16" s="54" customFormat="1" x14ac:dyDescent="0.35">
      <c r="B958" s="35" t="s">
        <v>4766</v>
      </c>
      <c r="C958" s="80" t="s">
        <v>4942</v>
      </c>
      <c r="D958" s="36">
        <v>45140</v>
      </c>
      <c r="E958" s="36">
        <v>45370</v>
      </c>
      <c r="F958" s="36">
        <v>45473</v>
      </c>
      <c r="G958" s="64" t="s">
        <v>6</v>
      </c>
      <c r="H958" s="35" t="s">
        <v>4943</v>
      </c>
      <c r="I958" s="35" t="s">
        <v>2480</v>
      </c>
      <c r="J958" s="43" t="s">
        <v>4953</v>
      </c>
      <c r="K958" s="43" t="s">
        <v>5558</v>
      </c>
      <c r="L958" s="30">
        <v>10000</v>
      </c>
      <c r="M958" s="30">
        <v>0</v>
      </c>
      <c r="N958" s="30">
        <f>5000+5000</f>
        <v>10000</v>
      </c>
      <c r="O958" s="30">
        <f t="shared" si="16"/>
        <v>0</v>
      </c>
      <c r="P958" s="43" t="s">
        <v>2977</v>
      </c>
    </row>
    <row r="959" spans="2:16" s="54" customFormat="1" ht="29" x14ac:dyDescent="0.35">
      <c r="B959" s="35" t="s">
        <v>4788</v>
      </c>
      <c r="C959" s="80" t="s">
        <v>5092</v>
      </c>
      <c r="D959" s="36">
        <v>45140</v>
      </c>
      <c r="E959" s="36">
        <v>45371</v>
      </c>
      <c r="F959" s="36">
        <v>45919</v>
      </c>
      <c r="G959" s="64" t="s">
        <v>6</v>
      </c>
      <c r="H959" s="35" t="s">
        <v>5093</v>
      </c>
      <c r="I959" s="35" t="s">
        <v>2507</v>
      </c>
      <c r="J959" s="43" t="s">
        <v>5243</v>
      </c>
      <c r="K959" s="43" t="s">
        <v>4819</v>
      </c>
      <c r="L959" s="30">
        <v>10000</v>
      </c>
      <c r="M959" s="30">
        <v>0</v>
      </c>
      <c r="N959" s="30">
        <v>0</v>
      </c>
      <c r="O959" s="30">
        <f t="shared" si="16"/>
        <v>10000</v>
      </c>
      <c r="P959" s="43" t="s">
        <v>2874</v>
      </c>
    </row>
    <row r="960" spans="2:16" s="54" customFormat="1" x14ac:dyDescent="0.35">
      <c r="B960" s="35" t="s">
        <v>4113</v>
      </c>
      <c r="C960" s="80" t="s">
        <v>5094</v>
      </c>
      <c r="D960" s="36">
        <v>45140</v>
      </c>
      <c r="E960" s="36">
        <v>45371</v>
      </c>
      <c r="F960" s="36">
        <v>46465</v>
      </c>
      <c r="G960" s="64" t="s">
        <v>6</v>
      </c>
      <c r="H960" s="35" t="s">
        <v>5095</v>
      </c>
      <c r="I960" s="35" t="s">
        <v>2490</v>
      </c>
      <c r="J960" s="43" t="s">
        <v>5242</v>
      </c>
      <c r="K960" s="43" t="s">
        <v>2573</v>
      </c>
      <c r="L960" s="30">
        <v>1000</v>
      </c>
      <c r="M960" s="30">
        <v>0</v>
      </c>
      <c r="N960" s="30">
        <f>1000</f>
        <v>1000</v>
      </c>
      <c r="O960" s="30">
        <f t="shared" si="16"/>
        <v>0</v>
      </c>
      <c r="P960" s="43" t="s">
        <v>2874</v>
      </c>
    </row>
    <row r="961" spans="2:16" s="54" customFormat="1" ht="43.5" x14ac:dyDescent="0.35">
      <c r="B961" s="35" t="s">
        <v>5101</v>
      </c>
      <c r="C961" s="80" t="s">
        <v>5102</v>
      </c>
      <c r="D961" s="36">
        <v>45348</v>
      </c>
      <c r="E961" s="36">
        <v>45371</v>
      </c>
      <c r="F961" s="36">
        <v>46465</v>
      </c>
      <c r="G961" s="64" t="s">
        <v>6</v>
      </c>
      <c r="H961" s="35" t="s">
        <v>5103</v>
      </c>
      <c r="I961" s="35" t="s">
        <v>2483</v>
      </c>
      <c r="J961" s="43" t="s">
        <v>5245</v>
      </c>
      <c r="K961" s="43" t="s">
        <v>2583</v>
      </c>
      <c r="L961" s="30">
        <v>11812.5</v>
      </c>
      <c r="M961" s="30">
        <v>0</v>
      </c>
      <c r="N961" s="30">
        <v>0</v>
      </c>
      <c r="O961" s="30">
        <f t="shared" si="16"/>
        <v>11812.5</v>
      </c>
      <c r="P961" s="44">
        <v>1.68</v>
      </c>
    </row>
    <row r="962" spans="2:16" s="54" customFormat="1" x14ac:dyDescent="0.35">
      <c r="B962" s="35" t="s">
        <v>4979</v>
      </c>
      <c r="C962" s="80" t="s">
        <v>4980</v>
      </c>
      <c r="D962" s="36">
        <v>45348</v>
      </c>
      <c r="E962" s="36">
        <v>45371</v>
      </c>
      <c r="F962" s="36">
        <v>46465</v>
      </c>
      <c r="G962" s="64" t="s">
        <v>6</v>
      </c>
      <c r="H962" s="35" t="s">
        <v>4981</v>
      </c>
      <c r="I962" s="35" t="s">
        <v>2517</v>
      </c>
      <c r="J962" s="43" t="s">
        <v>4750</v>
      </c>
      <c r="K962" s="43" t="s">
        <v>2586</v>
      </c>
      <c r="L962" s="30">
        <v>53000</v>
      </c>
      <c r="M962" s="30">
        <v>0</v>
      </c>
      <c r="N962" s="30">
        <v>0</v>
      </c>
      <c r="O962" s="30">
        <f t="shared" si="16"/>
        <v>53000</v>
      </c>
      <c r="P962" s="44">
        <v>1</v>
      </c>
    </row>
    <row r="963" spans="2:16" s="54" customFormat="1" x14ac:dyDescent="0.35">
      <c r="B963" s="35" t="s">
        <v>4982</v>
      </c>
      <c r="C963" s="80" t="s">
        <v>4983</v>
      </c>
      <c r="D963" s="36">
        <v>45348</v>
      </c>
      <c r="E963" s="36">
        <v>45371</v>
      </c>
      <c r="F963" s="36">
        <v>46465</v>
      </c>
      <c r="G963" s="64" t="s">
        <v>6</v>
      </c>
      <c r="H963" s="35" t="s">
        <v>4981</v>
      </c>
      <c r="I963" s="35" t="s">
        <v>2517</v>
      </c>
      <c r="J963" s="43" t="s">
        <v>4750</v>
      </c>
      <c r="K963" s="43" t="s">
        <v>2583</v>
      </c>
      <c r="L963" s="30">
        <v>7500</v>
      </c>
      <c r="M963" s="30">
        <v>0</v>
      </c>
      <c r="N963" s="30">
        <v>0</v>
      </c>
      <c r="O963" s="30">
        <f t="shared" si="16"/>
        <v>7500</v>
      </c>
      <c r="P963" s="44">
        <v>1</v>
      </c>
    </row>
    <row r="964" spans="2:16" s="54" customFormat="1" x14ac:dyDescent="0.35">
      <c r="B964" s="35" t="s">
        <v>4113</v>
      </c>
      <c r="C964" s="80" t="s">
        <v>5104</v>
      </c>
      <c r="D964" s="36">
        <v>45141</v>
      </c>
      <c r="E964" s="36">
        <v>45372</v>
      </c>
      <c r="F964" s="36">
        <v>46466</v>
      </c>
      <c r="G964" s="64" t="s">
        <v>6</v>
      </c>
      <c r="H964" s="35" t="s">
        <v>5105</v>
      </c>
      <c r="I964" s="35" t="s">
        <v>2480</v>
      </c>
      <c r="J964" s="43" t="s">
        <v>4618</v>
      </c>
      <c r="K964" s="43" t="s">
        <v>2573</v>
      </c>
      <c r="L964" s="30">
        <v>1000</v>
      </c>
      <c r="M964" s="30">
        <v>0</v>
      </c>
      <c r="N964" s="30">
        <v>0</v>
      </c>
      <c r="O964" s="30">
        <f t="shared" si="16"/>
        <v>1000</v>
      </c>
      <c r="P964" s="43" t="s">
        <v>2874</v>
      </c>
    </row>
    <row r="965" spans="2:16" s="54" customFormat="1" x14ac:dyDescent="0.35">
      <c r="B965" s="35" t="s">
        <v>4753</v>
      </c>
      <c r="C965" s="80" t="s">
        <v>4984</v>
      </c>
      <c r="D965" s="36">
        <v>45140</v>
      </c>
      <c r="E965" s="36">
        <v>45373</v>
      </c>
      <c r="F965" s="36">
        <v>46752</v>
      </c>
      <c r="G965" s="64" t="s">
        <v>6</v>
      </c>
      <c r="H965" s="35" t="s">
        <v>4985</v>
      </c>
      <c r="I965" s="35" t="s">
        <v>2480</v>
      </c>
      <c r="J965" s="43" t="s">
        <v>5236</v>
      </c>
      <c r="K965" s="43" t="s">
        <v>3181</v>
      </c>
      <c r="L965" s="30">
        <v>40000</v>
      </c>
      <c r="M965" s="30">
        <v>0</v>
      </c>
      <c r="N965" s="30">
        <f>5000+5000</f>
        <v>10000</v>
      </c>
      <c r="O965" s="30">
        <f t="shared" si="16"/>
        <v>30000</v>
      </c>
      <c r="P965" s="43" t="s">
        <v>2874</v>
      </c>
    </row>
    <row r="966" spans="2:16" s="54" customFormat="1" ht="29" x14ac:dyDescent="0.35">
      <c r="B966" s="35" t="s">
        <v>4788</v>
      </c>
      <c r="C966" s="80" t="s">
        <v>4986</v>
      </c>
      <c r="D966" s="36">
        <v>45140</v>
      </c>
      <c r="E966" s="36">
        <v>45373</v>
      </c>
      <c r="F966" s="36">
        <v>45921</v>
      </c>
      <c r="G966" s="64" t="s">
        <v>6</v>
      </c>
      <c r="H966" s="35" t="s">
        <v>4987</v>
      </c>
      <c r="I966" s="35" t="s">
        <v>2480</v>
      </c>
      <c r="J966" s="43" t="s">
        <v>5053</v>
      </c>
      <c r="K966" s="43" t="s">
        <v>4819</v>
      </c>
      <c r="L966" s="30">
        <v>10000</v>
      </c>
      <c r="M966" s="30">
        <v>0</v>
      </c>
      <c r="N966" s="30">
        <v>0</v>
      </c>
      <c r="O966" s="30">
        <f t="shared" si="16"/>
        <v>10000</v>
      </c>
      <c r="P966" s="43" t="s">
        <v>2874</v>
      </c>
    </row>
    <row r="967" spans="2:16" s="54" customFormat="1" ht="29" x14ac:dyDescent="0.35">
      <c r="B967" s="35" t="s">
        <v>4788</v>
      </c>
      <c r="C967" s="80" t="s">
        <v>4988</v>
      </c>
      <c r="D967" s="36">
        <v>45140</v>
      </c>
      <c r="E967" s="36">
        <v>45373</v>
      </c>
      <c r="F967" s="36">
        <v>45556</v>
      </c>
      <c r="G967" s="64" t="s">
        <v>6</v>
      </c>
      <c r="H967" s="35" t="s">
        <v>4989</v>
      </c>
      <c r="I967" s="35" t="s">
        <v>2653</v>
      </c>
      <c r="J967" s="43" t="s">
        <v>5054</v>
      </c>
      <c r="K967" s="43" t="s">
        <v>4819</v>
      </c>
      <c r="L967" s="30">
        <v>10000</v>
      </c>
      <c r="M967" s="30">
        <v>0</v>
      </c>
      <c r="N967" s="30">
        <f>401</f>
        <v>401</v>
      </c>
      <c r="O967" s="30">
        <f t="shared" si="16"/>
        <v>9599</v>
      </c>
      <c r="P967" s="43" t="s">
        <v>2874</v>
      </c>
    </row>
    <row r="968" spans="2:16" s="54" customFormat="1" ht="29" x14ac:dyDescent="0.35">
      <c r="B968" s="35" t="s">
        <v>4788</v>
      </c>
      <c r="C968" s="80" t="s">
        <v>4990</v>
      </c>
      <c r="D968" s="36">
        <v>45140</v>
      </c>
      <c r="E968" s="36">
        <v>45373</v>
      </c>
      <c r="F968" s="36">
        <v>45921</v>
      </c>
      <c r="G968" s="64" t="s">
        <v>6</v>
      </c>
      <c r="H968" s="35" t="s">
        <v>4991</v>
      </c>
      <c r="I968" s="35" t="s">
        <v>2484</v>
      </c>
      <c r="J968" s="43" t="s">
        <v>5055</v>
      </c>
      <c r="K968" s="43" t="s">
        <v>4819</v>
      </c>
      <c r="L968" s="30">
        <v>5000</v>
      </c>
      <c r="M968" s="30">
        <v>0</v>
      </c>
      <c r="N968" s="30">
        <v>0</v>
      </c>
      <c r="O968" s="30">
        <f t="shared" si="16"/>
        <v>5000</v>
      </c>
      <c r="P968" s="43" t="s">
        <v>2874</v>
      </c>
    </row>
    <row r="969" spans="2:16" s="54" customFormat="1" ht="29" x14ac:dyDescent="0.35">
      <c r="B969" s="35" t="s">
        <v>4788</v>
      </c>
      <c r="C969" s="80" t="s">
        <v>4992</v>
      </c>
      <c r="D969" s="36">
        <v>45140</v>
      </c>
      <c r="E969" s="36">
        <v>45373</v>
      </c>
      <c r="F969" s="36">
        <v>45921</v>
      </c>
      <c r="G969" s="64" t="s">
        <v>6</v>
      </c>
      <c r="H969" s="35" t="s">
        <v>4993</v>
      </c>
      <c r="I969" s="35" t="s">
        <v>2816</v>
      </c>
      <c r="J969" s="43" t="s">
        <v>5056</v>
      </c>
      <c r="K969" s="43" t="s">
        <v>4819</v>
      </c>
      <c r="L969" s="30">
        <v>10000</v>
      </c>
      <c r="M969" s="30">
        <v>0</v>
      </c>
      <c r="N969" s="30">
        <v>0</v>
      </c>
      <c r="O969" s="30">
        <f t="shared" si="16"/>
        <v>10000</v>
      </c>
      <c r="P969" s="43" t="s">
        <v>2874</v>
      </c>
    </row>
    <row r="970" spans="2:16" s="54" customFormat="1" ht="29" x14ac:dyDescent="0.35">
      <c r="B970" s="35" t="s">
        <v>4788</v>
      </c>
      <c r="C970" s="80" t="s">
        <v>4994</v>
      </c>
      <c r="D970" s="36">
        <v>45140</v>
      </c>
      <c r="E970" s="36">
        <v>45373</v>
      </c>
      <c r="F970" s="36">
        <v>45921</v>
      </c>
      <c r="G970" s="64" t="s">
        <v>6</v>
      </c>
      <c r="H970" s="35" t="s">
        <v>4995</v>
      </c>
      <c r="I970" s="35" t="s">
        <v>2484</v>
      </c>
      <c r="J970" s="43" t="s">
        <v>5057</v>
      </c>
      <c r="K970" s="43" t="s">
        <v>4819</v>
      </c>
      <c r="L970" s="30">
        <v>10000</v>
      </c>
      <c r="M970" s="30">
        <v>0</v>
      </c>
      <c r="N970" s="30">
        <v>0</v>
      </c>
      <c r="O970" s="30">
        <f t="shared" si="16"/>
        <v>10000</v>
      </c>
      <c r="P970" s="43" t="s">
        <v>2874</v>
      </c>
    </row>
    <row r="971" spans="2:16" s="54" customFormat="1" ht="43.5" x14ac:dyDescent="0.35">
      <c r="B971" s="35" t="s">
        <v>4788</v>
      </c>
      <c r="C971" s="80" t="s">
        <v>4996</v>
      </c>
      <c r="D971" s="36">
        <v>45140</v>
      </c>
      <c r="E971" s="36">
        <v>45373</v>
      </c>
      <c r="F971" s="36">
        <v>45556</v>
      </c>
      <c r="G971" s="64" t="s">
        <v>6</v>
      </c>
      <c r="H971" s="35" t="s">
        <v>4997</v>
      </c>
      <c r="I971" s="35" t="s">
        <v>2480</v>
      </c>
      <c r="J971" s="43" t="s">
        <v>5058</v>
      </c>
      <c r="K971" s="43" t="s">
        <v>4819</v>
      </c>
      <c r="L971" s="30">
        <v>10000</v>
      </c>
      <c r="M971" s="30">
        <v>0</v>
      </c>
      <c r="N971" s="30">
        <v>0</v>
      </c>
      <c r="O971" s="30">
        <f t="shared" si="16"/>
        <v>10000</v>
      </c>
      <c r="P971" s="43" t="s">
        <v>2874</v>
      </c>
    </row>
    <row r="972" spans="2:16" s="54" customFormat="1" ht="29" x14ac:dyDescent="0.35">
      <c r="B972" s="35" t="s">
        <v>4788</v>
      </c>
      <c r="C972" s="80" t="s">
        <v>4998</v>
      </c>
      <c r="D972" s="36">
        <v>45140</v>
      </c>
      <c r="E972" s="36">
        <v>45376</v>
      </c>
      <c r="F972" s="36">
        <v>45924</v>
      </c>
      <c r="G972" s="64" t="s">
        <v>6</v>
      </c>
      <c r="H972" s="35" t="s">
        <v>4999</v>
      </c>
      <c r="I972" s="35" t="s">
        <v>2492</v>
      </c>
      <c r="J972" s="43" t="s">
        <v>5059</v>
      </c>
      <c r="K972" s="43" t="s">
        <v>4819</v>
      </c>
      <c r="L972" s="30">
        <v>10000</v>
      </c>
      <c r="M972" s="30">
        <v>0</v>
      </c>
      <c r="N972" s="30">
        <v>0</v>
      </c>
      <c r="O972" s="30">
        <f t="shared" si="16"/>
        <v>10000</v>
      </c>
      <c r="P972" s="43" t="s">
        <v>2874</v>
      </c>
    </row>
    <row r="973" spans="2:16" s="54" customFormat="1" ht="29" x14ac:dyDescent="0.35">
      <c r="B973" s="35" t="s">
        <v>4788</v>
      </c>
      <c r="C973" s="80" t="s">
        <v>5000</v>
      </c>
      <c r="D973" s="36">
        <v>45140</v>
      </c>
      <c r="E973" s="36">
        <v>45376</v>
      </c>
      <c r="F973" s="36">
        <v>45924</v>
      </c>
      <c r="G973" s="64" t="s">
        <v>6</v>
      </c>
      <c r="H973" s="35" t="s">
        <v>5001</v>
      </c>
      <c r="I973" s="35" t="s">
        <v>2491</v>
      </c>
      <c r="J973" s="43" t="s">
        <v>5060</v>
      </c>
      <c r="K973" s="43" t="s">
        <v>4819</v>
      </c>
      <c r="L973" s="30">
        <v>10000</v>
      </c>
      <c r="M973" s="30">
        <v>0</v>
      </c>
      <c r="N973" s="30">
        <f>459.87+450+3035.23</f>
        <v>3945.1</v>
      </c>
      <c r="O973" s="30">
        <f t="shared" si="16"/>
        <v>6054.9</v>
      </c>
      <c r="P973" s="43" t="s">
        <v>2874</v>
      </c>
    </row>
    <row r="974" spans="2:16" s="54" customFormat="1" ht="29" x14ac:dyDescent="0.35">
      <c r="B974" s="35" t="s">
        <v>5108</v>
      </c>
      <c r="C974" s="80" t="s">
        <v>5109</v>
      </c>
      <c r="D974" s="36">
        <v>45334</v>
      </c>
      <c r="E974" s="36">
        <v>45376</v>
      </c>
      <c r="F974" s="36">
        <v>43914</v>
      </c>
      <c r="G974" s="64" t="s">
        <v>6</v>
      </c>
      <c r="H974" s="35" t="s">
        <v>5110</v>
      </c>
      <c r="I974" s="35" t="s">
        <v>2480</v>
      </c>
      <c r="J974" s="43" t="s">
        <v>5246</v>
      </c>
      <c r="K974" s="43" t="s">
        <v>2583</v>
      </c>
      <c r="L974" s="30">
        <v>6000</v>
      </c>
      <c r="M974" s="30">
        <v>0</v>
      </c>
      <c r="N974" s="30">
        <v>0</v>
      </c>
      <c r="O974" s="30">
        <f t="shared" si="16"/>
        <v>6000</v>
      </c>
      <c r="P974" s="44">
        <v>2.72</v>
      </c>
    </row>
    <row r="975" spans="2:16" s="54" customFormat="1" x14ac:dyDescent="0.35">
      <c r="B975" s="35" t="s">
        <v>4113</v>
      </c>
      <c r="C975" s="80" t="s">
        <v>5002</v>
      </c>
      <c r="D975" s="36">
        <v>45140</v>
      </c>
      <c r="E975" s="36">
        <v>45377</v>
      </c>
      <c r="F975" s="36">
        <v>46471</v>
      </c>
      <c r="G975" s="64" t="s">
        <v>6</v>
      </c>
      <c r="H975" s="35" t="s">
        <v>5003</v>
      </c>
      <c r="I975" s="35" t="s">
        <v>2476</v>
      </c>
      <c r="J975" s="43" t="s">
        <v>3708</v>
      </c>
      <c r="K975" s="43" t="s">
        <v>2573</v>
      </c>
      <c r="L975" s="30">
        <v>1000</v>
      </c>
      <c r="M975" s="30">
        <v>0</v>
      </c>
      <c r="N975" s="30">
        <v>1000</v>
      </c>
      <c r="O975" s="30">
        <f t="shared" si="16"/>
        <v>0</v>
      </c>
      <c r="P975" s="43" t="s">
        <v>2874</v>
      </c>
    </row>
    <row r="976" spans="2:16" s="54" customFormat="1" x14ac:dyDescent="0.35">
      <c r="B976" s="35" t="s">
        <v>4113</v>
      </c>
      <c r="C976" s="80" t="s">
        <v>5106</v>
      </c>
      <c r="D976" s="36">
        <v>45144</v>
      </c>
      <c r="E976" s="36">
        <v>45378</v>
      </c>
      <c r="F976" s="36">
        <v>46472</v>
      </c>
      <c r="G976" s="64" t="s">
        <v>6</v>
      </c>
      <c r="H976" s="35" t="s">
        <v>5107</v>
      </c>
      <c r="I976" s="35" t="s">
        <v>2485</v>
      </c>
      <c r="J976" s="43" t="s">
        <v>5286</v>
      </c>
      <c r="K976" s="43" t="s">
        <v>2573</v>
      </c>
      <c r="L976" s="30">
        <v>1848.3</v>
      </c>
      <c r="M976" s="30">
        <v>0</v>
      </c>
      <c r="N976" s="30">
        <f>1848.3</f>
        <v>1848.3</v>
      </c>
      <c r="O976" s="30">
        <f t="shared" si="16"/>
        <v>0</v>
      </c>
      <c r="P976" s="43" t="s">
        <v>2874</v>
      </c>
    </row>
    <row r="977" spans="2:16" s="54" customFormat="1" ht="43.5" x14ac:dyDescent="0.35">
      <c r="B977" s="35" t="s">
        <v>5111</v>
      </c>
      <c r="C977" s="80" t="s">
        <v>5112</v>
      </c>
      <c r="D977" s="36">
        <v>45329</v>
      </c>
      <c r="E977" s="36">
        <v>45384</v>
      </c>
      <c r="F977" s="36">
        <v>47209</v>
      </c>
      <c r="G977" s="64" t="s">
        <v>6</v>
      </c>
      <c r="H977" s="35" t="s">
        <v>5113</v>
      </c>
      <c r="I977" s="35" t="s">
        <v>2483</v>
      </c>
      <c r="J977" s="43" t="s">
        <v>5247</v>
      </c>
      <c r="K977" s="43" t="s">
        <v>2583</v>
      </c>
      <c r="L977" s="30">
        <v>87500</v>
      </c>
      <c r="M977" s="30">
        <v>0</v>
      </c>
      <c r="N977" s="30">
        <v>0</v>
      </c>
      <c r="O977" s="30">
        <f t="shared" si="16"/>
        <v>87500</v>
      </c>
      <c r="P977" s="44">
        <v>4.7699999999999996</v>
      </c>
    </row>
    <row r="978" spans="2:16" s="54" customFormat="1" ht="43.5" x14ac:dyDescent="0.35">
      <c r="B978" s="35" t="s">
        <v>5114</v>
      </c>
      <c r="C978" s="80" t="s">
        <v>5115</v>
      </c>
      <c r="D978" s="36">
        <v>45329</v>
      </c>
      <c r="E978" s="36">
        <v>45384</v>
      </c>
      <c r="F978" s="36">
        <v>47209</v>
      </c>
      <c r="G978" s="64" t="s">
        <v>6</v>
      </c>
      <c r="H978" s="35" t="s">
        <v>5113</v>
      </c>
      <c r="I978" s="35" t="s">
        <v>2483</v>
      </c>
      <c r="J978" s="43" t="s">
        <v>5247</v>
      </c>
      <c r="K978" s="43" t="s">
        <v>2586</v>
      </c>
      <c r="L978" s="30">
        <v>139800</v>
      </c>
      <c r="M978" s="30">
        <v>0</v>
      </c>
      <c r="N978" s="30">
        <v>0</v>
      </c>
      <c r="O978" s="30">
        <f t="shared" si="16"/>
        <v>139800</v>
      </c>
      <c r="P978" s="44">
        <v>4.7699999999999996</v>
      </c>
    </row>
    <row r="979" spans="2:16" s="54" customFormat="1" ht="29" x14ac:dyDescent="0.35">
      <c r="B979" s="35" t="s">
        <v>4788</v>
      </c>
      <c r="C979" s="80" t="s">
        <v>5450</v>
      </c>
      <c r="D979" s="36">
        <v>45140</v>
      </c>
      <c r="E979" s="36">
        <v>45385</v>
      </c>
      <c r="F979" s="36">
        <v>45932</v>
      </c>
      <c r="G979" s="64" t="s">
        <v>6</v>
      </c>
      <c r="H979" s="35" t="s">
        <v>5451</v>
      </c>
      <c r="I979" s="35" t="s">
        <v>2480</v>
      </c>
      <c r="J979" s="43" t="s">
        <v>5552</v>
      </c>
      <c r="K979" s="43" t="s">
        <v>4819</v>
      </c>
      <c r="L979" s="30">
        <v>9000</v>
      </c>
      <c r="M979" s="30">
        <v>0</v>
      </c>
      <c r="N979" s="30">
        <v>0</v>
      </c>
      <c r="O979" s="30">
        <f t="shared" si="16"/>
        <v>9000</v>
      </c>
      <c r="P979" s="43" t="s">
        <v>2874</v>
      </c>
    </row>
    <row r="980" spans="2:16" s="54" customFormat="1" x14ac:dyDescent="0.35">
      <c r="B980" s="35" t="s">
        <v>4753</v>
      </c>
      <c r="C980" s="80" t="s">
        <v>5004</v>
      </c>
      <c r="D980" s="36">
        <v>45140</v>
      </c>
      <c r="E980" s="36">
        <v>45385</v>
      </c>
      <c r="F980" s="36">
        <v>46752</v>
      </c>
      <c r="G980" s="64" t="s">
        <v>6</v>
      </c>
      <c r="H980" s="35" t="s">
        <v>5005</v>
      </c>
      <c r="I980" s="35" t="s">
        <v>2497</v>
      </c>
      <c r="J980" s="43" t="s">
        <v>5236</v>
      </c>
      <c r="K980" s="43" t="s">
        <v>3181</v>
      </c>
      <c r="L980" s="30">
        <v>40000</v>
      </c>
      <c r="M980" s="30">
        <v>0</v>
      </c>
      <c r="N980" s="30">
        <f>5000+5000+5000</f>
        <v>15000</v>
      </c>
      <c r="O980" s="30">
        <f t="shared" si="16"/>
        <v>25000</v>
      </c>
      <c r="P980" s="43" t="s">
        <v>2874</v>
      </c>
    </row>
    <row r="981" spans="2:16" s="54" customFormat="1" ht="29" x14ac:dyDescent="0.35">
      <c r="B981" s="35" t="s">
        <v>4788</v>
      </c>
      <c r="C981" s="80" t="s">
        <v>5006</v>
      </c>
      <c r="D981" s="36">
        <v>45140</v>
      </c>
      <c r="E981" s="36">
        <v>45387</v>
      </c>
      <c r="F981" s="36">
        <v>45934</v>
      </c>
      <c r="G981" s="64" t="s">
        <v>6</v>
      </c>
      <c r="H981" s="35" t="s">
        <v>5007</v>
      </c>
      <c r="I981" s="35" t="s">
        <v>2491</v>
      </c>
      <c r="J981" s="43" t="s">
        <v>5061</v>
      </c>
      <c r="K981" s="43" t="s">
        <v>4819</v>
      </c>
      <c r="L981" s="30">
        <v>10000</v>
      </c>
      <c r="M981" s="30">
        <v>0</v>
      </c>
      <c r="N981" s="30">
        <f>3243.32</f>
        <v>3243.32</v>
      </c>
      <c r="O981" s="30">
        <f t="shared" si="16"/>
        <v>6756.68</v>
      </c>
      <c r="P981" s="43" t="s">
        <v>2874</v>
      </c>
    </row>
    <row r="982" spans="2:16" s="54" customFormat="1" ht="29" x14ac:dyDescent="0.35">
      <c r="B982" s="35" t="s">
        <v>4788</v>
      </c>
      <c r="C982" s="80" t="s">
        <v>5008</v>
      </c>
      <c r="D982" s="36">
        <v>45140</v>
      </c>
      <c r="E982" s="36">
        <v>45387</v>
      </c>
      <c r="F982" s="36">
        <v>1206309</v>
      </c>
      <c r="G982" s="64" t="s">
        <v>6</v>
      </c>
      <c r="H982" s="35" t="s">
        <v>5009</v>
      </c>
      <c r="I982" s="35" t="s">
        <v>2488</v>
      </c>
      <c r="J982" s="43" t="s">
        <v>5062</v>
      </c>
      <c r="K982" s="43" t="s">
        <v>4819</v>
      </c>
      <c r="L982" s="30">
        <v>7000</v>
      </c>
      <c r="M982" s="30">
        <v>0</v>
      </c>
      <c r="N982" s="30">
        <v>0</v>
      </c>
      <c r="O982" s="30">
        <f t="shared" si="16"/>
        <v>7000</v>
      </c>
      <c r="P982" s="43" t="s">
        <v>2874</v>
      </c>
    </row>
    <row r="983" spans="2:16" s="54" customFormat="1" x14ac:dyDescent="0.35">
      <c r="B983" s="35" t="s">
        <v>5010</v>
      </c>
      <c r="C983" s="80" t="s">
        <v>5011</v>
      </c>
      <c r="D983" s="36">
        <v>45345</v>
      </c>
      <c r="E983" s="36">
        <v>45387</v>
      </c>
      <c r="F983" s="36">
        <v>45534</v>
      </c>
      <c r="G983" s="64" t="s">
        <v>6</v>
      </c>
      <c r="H983" s="35" t="s">
        <v>5012</v>
      </c>
      <c r="I983" s="35" t="s">
        <v>2484</v>
      </c>
      <c r="J983" s="43" t="s">
        <v>5078</v>
      </c>
      <c r="K983" s="43" t="s">
        <v>3412</v>
      </c>
      <c r="L983" s="30">
        <v>50000</v>
      </c>
      <c r="M983" s="30">
        <v>0</v>
      </c>
      <c r="N983" s="30">
        <f>50000</f>
        <v>50000</v>
      </c>
      <c r="O983" s="30">
        <f t="shared" si="16"/>
        <v>0</v>
      </c>
      <c r="P983" s="44" t="s">
        <v>2977</v>
      </c>
    </row>
    <row r="984" spans="2:16" s="54" customFormat="1" x14ac:dyDescent="0.35">
      <c r="B984" s="35" t="s">
        <v>4113</v>
      </c>
      <c r="C984" s="80" t="s">
        <v>5116</v>
      </c>
      <c r="D984" s="36">
        <v>45145</v>
      </c>
      <c r="E984" s="36">
        <v>45387</v>
      </c>
      <c r="F984" s="36">
        <v>46481</v>
      </c>
      <c r="G984" s="64" t="s">
        <v>6</v>
      </c>
      <c r="H984" s="35" t="s">
        <v>5117</v>
      </c>
      <c r="I984" s="35" t="s">
        <v>2495</v>
      </c>
      <c r="J984" s="43" t="s">
        <v>5248</v>
      </c>
      <c r="K984" s="43" t="s">
        <v>2573</v>
      </c>
      <c r="L984" s="30">
        <v>1000</v>
      </c>
      <c r="M984" s="30">
        <v>0</v>
      </c>
      <c r="N984" s="30">
        <v>1000</v>
      </c>
      <c r="O984" s="30">
        <f t="shared" si="16"/>
        <v>0</v>
      </c>
      <c r="P984" s="43" t="s">
        <v>2874</v>
      </c>
    </row>
    <row r="985" spans="2:16" s="54" customFormat="1" x14ac:dyDescent="0.35">
      <c r="B985" s="35" t="s">
        <v>4113</v>
      </c>
      <c r="C985" s="80" t="s">
        <v>5118</v>
      </c>
      <c r="D985" s="36">
        <v>45146</v>
      </c>
      <c r="E985" s="36">
        <v>45387</v>
      </c>
      <c r="F985" s="36">
        <v>46481</v>
      </c>
      <c r="G985" s="64" t="s">
        <v>6</v>
      </c>
      <c r="H985" s="35" t="s">
        <v>5119</v>
      </c>
      <c r="I985" s="35" t="s">
        <v>2501</v>
      </c>
      <c r="J985" s="43" t="s">
        <v>5249</v>
      </c>
      <c r="K985" s="43" t="s">
        <v>2573</v>
      </c>
      <c r="L985" s="30">
        <v>1000</v>
      </c>
      <c r="M985" s="30">
        <v>0</v>
      </c>
      <c r="N985" s="30">
        <v>1000</v>
      </c>
      <c r="O985" s="30">
        <f t="shared" si="16"/>
        <v>0</v>
      </c>
      <c r="P985" s="43" t="s">
        <v>2874</v>
      </c>
    </row>
    <row r="986" spans="2:16" s="54" customFormat="1" x14ac:dyDescent="0.35">
      <c r="B986" s="35" t="s">
        <v>5013</v>
      </c>
      <c r="C986" s="80" t="s">
        <v>5014</v>
      </c>
      <c r="D986" s="36">
        <v>45376</v>
      </c>
      <c r="E986" s="36">
        <v>45387</v>
      </c>
      <c r="F986" s="36">
        <v>46481</v>
      </c>
      <c r="G986" s="64" t="s">
        <v>6</v>
      </c>
      <c r="H986" s="35" t="s">
        <v>647</v>
      </c>
      <c r="I986" s="35" t="s">
        <v>2479</v>
      </c>
      <c r="J986" s="43" t="s">
        <v>5074</v>
      </c>
      <c r="K986" s="43" t="s">
        <v>2583</v>
      </c>
      <c r="L986" s="30">
        <v>12000</v>
      </c>
      <c r="M986" s="30">
        <v>0</v>
      </c>
      <c r="N986" s="30">
        <v>0</v>
      </c>
      <c r="O986" s="30">
        <f t="shared" si="16"/>
        <v>12000</v>
      </c>
      <c r="P986" s="44">
        <v>0.19</v>
      </c>
    </row>
    <row r="987" spans="2:16" s="54" customFormat="1" x14ac:dyDescent="0.35">
      <c r="B987" s="35" t="s">
        <v>5015</v>
      </c>
      <c r="C987" s="80" t="s">
        <v>5016</v>
      </c>
      <c r="D987" s="36">
        <v>45377</v>
      </c>
      <c r="E987" s="36">
        <v>45387</v>
      </c>
      <c r="F987" s="36">
        <v>46481</v>
      </c>
      <c r="G987" s="64" t="s">
        <v>6</v>
      </c>
      <c r="H987" s="35" t="s">
        <v>647</v>
      </c>
      <c r="I987" s="35" t="s">
        <v>2479</v>
      </c>
      <c r="J987" s="43" t="s">
        <v>5074</v>
      </c>
      <c r="K987" s="43" t="s">
        <v>2586</v>
      </c>
      <c r="L987" s="30">
        <v>300000</v>
      </c>
      <c r="M987" s="30">
        <v>0</v>
      </c>
      <c r="N987" s="30">
        <v>0</v>
      </c>
      <c r="O987" s="30">
        <f t="shared" ref="O987:O1050" si="17">L987-M987-N987</f>
        <v>300000</v>
      </c>
      <c r="P987" s="44">
        <v>0.19</v>
      </c>
    </row>
    <row r="988" spans="2:16" s="54" customFormat="1" x14ac:dyDescent="0.35">
      <c r="B988" s="35" t="s">
        <v>5017</v>
      </c>
      <c r="C988" s="80" t="s">
        <v>5018</v>
      </c>
      <c r="D988" s="36">
        <v>45348</v>
      </c>
      <c r="E988" s="36">
        <v>45387</v>
      </c>
      <c r="F988" s="36">
        <v>46481</v>
      </c>
      <c r="G988" s="64" t="s">
        <v>6</v>
      </c>
      <c r="H988" s="35" t="s">
        <v>642</v>
      </c>
      <c r="I988" s="35" t="s">
        <v>2816</v>
      </c>
      <c r="J988" s="43" t="s">
        <v>5074</v>
      </c>
      <c r="K988" s="43" t="s">
        <v>2583</v>
      </c>
      <c r="L988" s="30">
        <v>25000</v>
      </c>
      <c r="M988" s="30">
        <v>0</v>
      </c>
      <c r="N988" s="30">
        <v>0</v>
      </c>
      <c r="O988" s="30">
        <f t="shared" si="17"/>
        <v>25000</v>
      </c>
      <c r="P988" s="44">
        <v>2.25</v>
      </c>
    </row>
    <row r="989" spans="2:16" s="54" customFormat="1" x14ac:dyDescent="0.35">
      <c r="B989" s="35" t="s">
        <v>5019</v>
      </c>
      <c r="C989" s="80" t="s">
        <v>5020</v>
      </c>
      <c r="D989" s="36">
        <v>45348</v>
      </c>
      <c r="E989" s="36">
        <v>45387</v>
      </c>
      <c r="F989" s="36">
        <v>45386</v>
      </c>
      <c r="G989" s="64" t="s">
        <v>6</v>
      </c>
      <c r="H989" s="35" t="s">
        <v>642</v>
      </c>
      <c r="I989" s="35" t="s">
        <v>2816</v>
      </c>
      <c r="J989" s="43" t="s">
        <v>5074</v>
      </c>
      <c r="K989" s="43" t="s">
        <v>2586</v>
      </c>
      <c r="L989" s="30">
        <v>155000</v>
      </c>
      <c r="M989" s="30">
        <v>0</v>
      </c>
      <c r="N989" s="30">
        <v>0</v>
      </c>
      <c r="O989" s="30">
        <f t="shared" si="17"/>
        <v>155000</v>
      </c>
      <c r="P989" s="44">
        <v>2.25</v>
      </c>
    </row>
    <row r="990" spans="2:16" s="54" customFormat="1" x14ac:dyDescent="0.35">
      <c r="B990" s="35" t="s">
        <v>5021</v>
      </c>
      <c r="C990" s="80" t="s">
        <v>5022</v>
      </c>
      <c r="D990" s="36">
        <v>45348</v>
      </c>
      <c r="E990" s="36">
        <v>45387</v>
      </c>
      <c r="F990" s="36">
        <v>46481</v>
      </c>
      <c r="G990" s="64" t="s">
        <v>6</v>
      </c>
      <c r="H990" s="35" t="s">
        <v>642</v>
      </c>
      <c r="I990" s="35" t="s">
        <v>2816</v>
      </c>
      <c r="J990" s="43" t="s">
        <v>5074</v>
      </c>
      <c r="K990" s="43" t="s">
        <v>2585</v>
      </c>
      <c r="L990" s="30">
        <v>31815</v>
      </c>
      <c r="M990" s="30">
        <v>0</v>
      </c>
      <c r="N990" s="30">
        <v>0</v>
      </c>
      <c r="O990" s="30">
        <f t="shared" si="17"/>
        <v>31815</v>
      </c>
      <c r="P990" s="44">
        <v>2.25</v>
      </c>
    </row>
    <row r="991" spans="2:16" s="54" customFormat="1" x14ac:dyDescent="0.35">
      <c r="B991" s="35" t="s">
        <v>5120</v>
      </c>
      <c r="C991" s="80" t="s">
        <v>5121</v>
      </c>
      <c r="D991" s="36">
        <v>45348</v>
      </c>
      <c r="E991" s="36">
        <v>45387</v>
      </c>
      <c r="F991" s="36">
        <v>47212</v>
      </c>
      <c r="G991" s="64" t="s">
        <v>6</v>
      </c>
      <c r="H991" s="35" t="s">
        <v>5122</v>
      </c>
      <c r="I991" s="35" t="s">
        <v>2480</v>
      </c>
      <c r="J991" s="43" t="s">
        <v>5250</v>
      </c>
      <c r="K991" s="43" t="s">
        <v>2583</v>
      </c>
      <c r="L991" s="30">
        <v>27000</v>
      </c>
      <c r="M991" s="30">
        <v>0</v>
      </c>
      <c r="N991" s="30">
        <v>1800</v>
      </c>
      <c r="O991" s="30">
        <f t="shared" si="17"/>
        <v>25200</v>
      </c>
      <c r="P991" s="44">
        <v>6.96</v>
      </c>
    </row>
    <row r="992" spans="2:16" s="54" customFormat="1" x14ac:dyDescent="0.35">
      <c r="B992" s="35" t="s">
        <v>5123</v>
      </c>
      <c r="C992" s="80" t="s">
        <v>5124</v>
      </c>
      <c r="D992" s="36">
        <v>45348</v>
      </c>
      <c r="E992" s="36">
        <v>45387</v>
      </c>
      <c r="F992" s="36">
        <v>46481</v>
      </c>
      <c r="G992" s="64" t="s">
        <v>6</v>
      </c>
      <c r="H992" s="35" t="s">
        <v>5122</v>
      </c>
      <c r="I992" s="35" t="s">
        <v>2480</v>
      </c>
      <c r="J992" s="43" t="s">
        <v>5250</v>
      </c>
      <c r="K992" s="43" t="s">
        <v>2586</v>
      </c>
      <c r="L992" s="30">
        <v>200000</v>
      </c>
      <c r="M992" s="30">
        <v>0</v>
      </c>
      <c r="N992" s="30">
        <v>200000</v>
      </c>
      <c r="O992" s="30">
        <f t="shared" si="17"/>
        <v>0</v>
      </c>
      <c r="P992" s="44">
        <v>6.96</v>
      </c>
    </row>
    <row r="993" spans="2:16" s="54" customFormat="1" ht="29" x14ac:dyDescent="0.35">
      <c r="B993" s="35" t="s">
        <v>4089</v>
      </c>
      <c r="C993" s="80" t="s">
        <v>5127</v>
      </c>
      <c r="D993" s="36">
        <v>45140</v>
      </c>
      <c r="E993" s="36">
        <v>45388</v>
      </c>
      <c r="F993" s="36">
        <v>45752</v>
      </c>
      <c r="G993" s="64" t="s">
        <v>6</v>
      </c>
      <c r="H993" s="35" t="s">
        <v>57</v>
      </c>
      <c r="I993" s="35" t="s">
        <v>2499</v>
      </c>
      <c r="J993" s="43" t="s">
        <v>5252</v>
      </c>
      <c r="K993" s="43" t="s">
        <v>2573</v>
      </c>
      <c r="L993" s="30">
        <v>1050</v>
      </c>
      <c r="M993" s="30">
        <v>0</v>
      </c>
      <c r="N993" s="30">
        <f>1050</f>
        <v>1050</v>
      </c>
      <c r="O993" s="30">
        <f t="shared" si="17"/>
        <v>0</v>
      </c>
      <c r="P993" s="43" t="s">
        <v>2874</v>
      </c>
    </row>
    <row r="994" spans="2:16" s="54" customFormat="1" x14ac:dyDescent="0.35">
      <c r="B994" s="35" t="s">
        <v>4766</v>
      </c>
      <c r="C994" s="80" t="s">
        <v>5125</v>
      </c>
      <c r="D994" s="36">
        <v>45140</v>
      </c>
      <c r="E994" s="36">
        <v>45390</v>
      </c>
      <c r="F994" s="36">
        <v>45473</v>
      </c>
      <c r="G994" s="64" t="s">
        <v>6</v>
      </c>
      <c r="H994" s="35" t="s">
        <v>5126</v>
      </c>
      <c r="I994" s="35" t="s">
        <v>2480</v>
      </c>
      <c r="J994" s="43" t="s">
        <v>5251</v>
      </c>
      <c r="K994" s="43" t="s">
        <v>5558</v>
      </c>
      <c r="L994" s="30">
        <v>10000</v>
      </c>
      <c r="M994" s="30">
        <v>0</v>
      </c>
      <c r="N994" s="30">
        <v>5000</v>
      </c>
      <c r="O994" s="30">
        <f t="shared" si="17"/>
        <v>5000</v>
      </c>
      <c r="P994" s="43" t="s">
        <v>2977</v>
      </c>
    </row>
    <row r="995" spans="2:16" s="54" customFormat="1" ht="29" x14ac:dyDescent="0.35">
      <c r="B995" s="35" t="s">
        <v>5023</v>
      </c>
      <c r="C995" s="80" t="s">
        <v>5024</v>
      </c>
      <c r="D995" s="36">
        <v>45140</v>
      </c>
      <c r="E995" s="36">
        <v>45392</v>
      </c>
      <c r="F995" s="36">
        <v>46276</v>
      </c>
      <c r="G995" s="64" t="s">
        <v>6</v>
      </c>
      <c r="H995" s="35" t="s">
        <v>5025</v>
      </c>
      <c r="I995" s="35" t="s">
        <v>2492</v>
      </c>
      <c r="J995" s="43" t="s">
        <v>5067</v>
      </c>
      <c r="K995" s="43" t="s">
        <v>3384</v>
      </c>
      <c r="L995" s="30">
        <v>20000</v>
      </c>
      <c r="M995" s="30">
        <v>0</v>
      </c>
      <c r="N995" s="30">
        <f>10000</f>
        <v>10000</v>
      </c>
      <c r="O995" s="30">
        <f t="shared" si="17"/>
        <v>10000</v>
      </c>
      <c r="P995" s="43" t="s">
        <v>2874</v>
      </c>
    </row>
    <row r="996" spans="2:16" s="54" customFormat="1" ht="29" x14ac:dyDescent="0.35">
      <c r="B996" s="35" t="s">
        <v>4111</v>
      </c>
      <c r="C996" s="80" t="s">
        <v>5128</v>
      </c>
      <c r="D996" s="36">
        <v>45140</v>
      </c>
      <c r="E996" s="36">
        <v>45392</v>
      </c>
      <c r="F996" s="36">
        <v>45756</v>
      </c>
      <c r="G996" s="64" t="s">
        <v>6</v>
      </c>
      <c r="H996" s="35" t="s">
        <v>5129</v>
      </c>
      <c r="I996" s="35" t="s">
        <v>2480</v>
      </c>
      <c r="J996" s="43" t="s">
        <v>5253</v>
      </c>
      <c r="K996" s="43" t="s">
        <v>3555</v>
      </c>
      <c r="L996" s="30">
        <v>5000</v>
      </c>
      <c r="M996" s="30">
        <v>0</v>
      </c>
      <c r="N996" s="30">
        <f>5000</f>
        <v>5000</v>
      </c>
      <c r="O996" s="30">
        <f t="shared" si="17"/>
        <v>0</v>
      </c>
      <c r="P996" s="43" t="s">
        <v>2874</v>
      </c>
    </row>
    <row r="997" spans="2:16" s="54" customFormat="1" ht="29" x14ac:dyDescent="0.35">
      <c r="B997" s="35" t="s">
        <v>5130</v>
      </c>
      <c r="C997" s="80" t="s">
        <v>5131</v>
      </c>
      <c r="D997" s="36">
        <v>45383</v>
      </c>
      <c r="E997" s="36">
        <v>45393</v>
      </c>
      <c r="F997" s="36">
        <v>47218</v>
      </c>
      <c r="G997" s="64" t="s">
        <v>6</v>
      </c>
      <c r="H997" s="35" t="s">
        <v>5132</v>
      </c>
      <c r="I997" s="35" t="s">
        <v>2474</v>
      </c>
      <c r="J997" s="43" t="s">
        <v>5254</v>
      </c>
      <c r="K997" s="43" t="s">
        <v>2586</v>
      </c>
      <c r="L997" s="30">
        <v>30000</v>
      </c>
      <c r="M997" s="30">
        <v>0</v>
      </c>
      <c r="N997" s="30">
        <f>6300</f>
        <v>6300</v>
      </c>
      <c r="O997" s="30">
        <f t="shared" si="17"/>
        <v>23700</v>
      </c>
      <c r="P997" s="44">
        <v>6.17</v>
      </c>
    </row>
    <row r="998" spans="2:16" s="54" customFormat="1" x14ac:dyDescent="0.35">
      <c r="B998" s="35" t="s">
        <v>5026</v>
      </c>
      <c r="C998" s="80" t="s">
        <v>5027</v>
      </c>
      <c r="D998" s="36">
        <v>45365</v>
      </c>
      <c r="E998" s="36">
        <v>45393</v>
      </c>
      <c r="F998" s="36">
        <v>45940</v>
      </c>
      <c r="G998" s="64" t="s">
        <v>6</v>
      </c>
      <c r="H998" s="35" t="s">
        <v>1563</v>
      </c>
      <c r="I998" s="35" t="s">
        <v>2490</v>
      </c>
      <c r="J998" s="43" t="s">
        <v>5071</v>
      </c>
      <c r="K998" s="43" t="s">
        <v>5076</v>
      </c>
      <c r="L998" s="30">
        <v>50000</v>
      </c>
      <c r="M998" s="30">
        <v>0</v>
      </c>
      <c r="N998" s="30">
        <v>0</v>
      </c>
      <c r="O998" s="30">
        <f t="shared" si="17"/>
        <v>50000</v>
      </c>
      <c r="P998" s="43" t="s">
        <v>2874</v>
      </c>
    </row>
    <row r="999" spans="2:16" s="54" customFormat="1" ht="29" x14ac:dyDescent="0.35">
      <c r="B999" s="35" t="s">
        <v>5133</v>
      </c>
      <c r="C999" s="80" t="s">
        <v>5134</v>
      </c>
      <c r="D999" s="36">
        <v>45383</v>
      </c>
      <c r="E999" s="36">
        <v>45394</v>
      </c>
      <c r="F999" s="36">
        <v>47219</v>
      </c>
      <c r="G999" s="64" t="s">
        <v>6</v>
      </c>
      <c r="H999" s="35" t="s">
        <v>5132</v>
      </c>
      <c r="I999" s="35" t="s">
        <v>2474</v>
      </c>
      <c r="J999" s="43" t="s">
        <v>5254</v>
      </c>
      <c r="K999" s="43" t="s">
        <v>2583</v>
      </c>
      <c r="L999" s="30">
        <v>3000</v>
      </c>
      <c r="M999" s="30">
        <v>0</v>
      </c>
      <c r="N999" s="30">
        <v>0</v>
      </c>
      <c r="O999" s="30">
        <f t="shared" si="17"/>
        <v>3000</v>
      </c>
      <c r="P999" s="44">
        <v>6.17</v>
      </c>
    </row>
    <row r="1000" spans="2:16" s="54" customFormat="1" x14ac:dyDescent="0.35">
      <c r="B1000" s="35" t="s">
        <v>5028</v>
      </c>
      <c r="C1000" s="80" t="s">
        <v>5029</v>
      </c>
      <c r="D1000" s="36">
        <v>45357</v>
      </c>
      <c r="E1000" s="36">
        <v>45394</v>
      </c>
      <c r="F1000" s="36">
        <v>45758</v>
      </c>
      <c r="G1000" s="64" t="s">
        <v>6</v>
      </c>
      <c r="H1000" s="35" t="s">
        <v>3193</v>
      </c>
      <c r="I1000" s="35" t="s">
        <v>2518</v>
      </c>
      <c r="J1000" s="43" t="s">
        <v>5072</v>
      </c>
      <c r="K1000" s="43" t="s">
        <v>2581</v>
      </c>
      <c r="L1000" s="30">
        <v>6479</v>
      </c>
      <c r="M1000" s="30">
        <v>0</v>
      </c>
      <c r="N1000" s="30">
        <v>6479</v>
      </c>
      <c r="O1000" s="30">
        <f t="shared" si="17"/>
        <v>0</v>
      </c>
      <c r="P1000" s="43" t="s">
        <v>2874</v>
      </c>
    </row>
    <row r="1001" spans="2:16" s="54" customFormat="1" x14ac:dyDescent="0.35">
      <c r="B1001" s="35" t="s">
        <v>4227</v>
      </c>
      <c r="C1001" s="80" t="s">
        <v>5030</v>
      </c>
      <c r="D1001" s="36">
        <v>45177</v>
      </c>
      <c r="E1001" s="36">
        <v>45397</v>
      </c>
      <c r="F1001" s="36">
        <v>47069</v>
      </c>
      <c r="G1001" s="64" t="s">
        <v>6</v>
      </c>
      <c r="H1001" s="35" t="s">
        <v>4228</v>
      </c>
      <c r="I1001" s="35" t="s">
        <v>2491</v>
      </c>
      <c r="J1001" s="43" t="s">
        <v>5068</v>
      </c>
      <c r="K1001" s="43" t="s">
        <v>2583</v>
      </c>
      <c r="L1001" s="30">
        <v>37500</v>
      </c>
      <c r="M1001" s="30">
        <v>0</v>
      </c>
      <c r="N1001" s="30">
        <v>0</v>
      </c>
      <c r="O1001" s="30">
        <f t="shared" si="17"/>
        <v>37500</v>
      </c>
      <c r="P1001" s="44">
        <v>1.1499999999999999</v>
      </c>
    </row>
    <row r="1002" spans="2:16" s="54" customFormat="1" ht="29" x14ac:dyDescent="0.35">
      <c r="B1002" s="35" t="s">
        <v>4111</v>
      </c>
      <c r="C1002" s="80" t="s">
        <v>5031</v>
      </c>
      <c r="D1002" s="36">
        <v>45140</v>
      </c>
      <c r="E1002" s="36">
        <v>45397</v>
      </c>
      <c r="F1002" s="36">
        <v>45473</v>
      </c>
      <c r="G1002" s="64" t="s">
        <v>6</v>
      </c>
      <c r="H1002" s="35" t="s">
        <v>3912</v>
      </c>
      <c r="I1002" s="35" t="s">
        <v>2491</v>
      </c>
      <c r="J1002" s="43" t="s">
        <v>5052</v>
      </c>
      <c r="K1002" s="43" t="s">
        <v>3555</v>
      </c>
      <c r="L1002" s="30">
        <v>16800</v>
      </c>
      <c r="M1002" s="30">
        <v>0</v>
      </c>
      <c r="N1002" s="30">
        <f>7000</f>
        <v>7000</v>
      </c>
      <c r="O1002" s="30">
        <f t="shared" si="17"/>
        <v>9800</v>
      </c>
      <c r="P1002" s="43" t="s">
        <v>2874</v>
      </c>
    </row>
    <row r="1003" spans="2:16" s="54" customFormat="1" ht="29" x14ac:dyDescent="0.35">
      <c r="B1003" s="35" t="s">
        <v>4788</v>
      </c>
      <c r="C1003" s="80" t="s">
        <v>5032</v>
      </c>
      <c r="D1003" s="36">
        <v>45140</v>
      </c>
      <c r="E1003" s="36">
        <v>45397</v>
      </c>
      <c r="F1003" s="36">
        <v>45944</v>
      </c>
      <c r="G1003" s="64" t="s">
        <v>6</v>
      </c>
      <c r="H1003" s="35" t="s">
        <v>5033</v>
      </c>
      <c r="I1003" s="35" t="s">
        <v>3015</v>
      </c>
      <c r="J1003" s="43" t="s">
        <v>5063</v>
      </c>
      <c r="K1003" s="43" t="s">
        <v>4819</v>
      </c>
      <c r="L1003" s="30">
        <v>5000</v>
      </c>
      <c r="M1003" s="30">
        <v>0</v>
      </c>
      <c r="N1003" s="30">
        <f>2410.81+2133.08</f>
        <v>4543.8899999999994</v>
      </c>
      <c r="O1003" s="30">
        <f t="shared" si="17"/>
        <v>456.11000000000058</v>
      </c>
      <c r="P1003" s="43" t="s">
        <v>2874</v>
      </c>
    </row>
    <row r="1004" spans="2:16" s="54" customFormat="1" ht="29" x14ac:dyDescent="0.35">
      <c r="B1004" s="35" t="s">
        <v>4788</v>
      </c>
      <c r="C1004" s="80" t="s">
        <v>5034</v>
      </c>
      <c r="D1004" s="36">
        <v>45140</v>
      </c>
      <c r="E1004" s="36">
        <v>45397</v>
      </c>
      <c r="F1004" s="36">
        <v>45944</v>
      </c>
      <c r="G1004" s="64" t="s">
        <v>6</v>
      </c>
      <c r="H1004" s="35" t="s">
        <v>5035</v>
      </c>
      <c r="I1004" s="35" t="s">
        <v>2473</v>
      </c>
      <c r="J1004" s="43" t="s">
        <v>5064</v>
      </c>
      <c r="K1004" s="43" t="s">
        <v>4819</v>
      </c>
      <c r="L1004" s="30">
        <v>5000</v>
      </c>
      <c r="M1004" s="30">
        <v>0</v>
      </c>
      <c r="N1004" s="30">
        <v>0</v>
      </c>
      <c r="O1004" s="30">
        <f t="shared" si="17"/>
        <v>5000</v>
      </c>
      <c r="P1004" s="43" t="s">
        <v>2874</v>
      </c>
    </row>
    <row r="1005" spans="2:16" s="54" customFormat="1" x14ac:dyDescent="0.35">
      <c r="B1005" s="35" t="s">
        <v>4753</v>
      </c>
      <c r="C1005" s="80" t="s">
        <v>5135</v>
      </c>
      <c r="D1005" s="36">
        <v>45140</v>
      </c>
      <c r="E1005" s="36">
        <v>45397</v>
      </c>
      <c r="F1005" s="36">
        <v>46752</v>
      </c>
      <c r="G1005" s="64" t="s">
        <v>6</v>
      </c>
      <c r="H1005" s="35" t="s">
        <v>5136</v>
      </c>
      <c r="I1005" s="35" t="s">
        <v>2485</v>
      </c>
      <c r="J1005" s="43" t="s">
        <v>5236</v>
      </c>
      <c r="K1005" s="43" t="s">
        <v>3181</v>
      </c>
      <c r="L1005" s="30">
        <v>40000</v>
      </c>
      <c r="M1005" s="30">
        <v>0</v>
      </c>
      <c r="N1005" s="30">
        <f>10000+5000</f>
        <v>15000</v>
      </c>
      <c r="O1005" s="30">
        <f t="shared" si="17"/>
        <v>25000</v>
      </c>
      <c r="P1005" s="43" t="s">
        <v>2874</v>
      </c>
    </row>
    <row r="1006" spans="2:16" s="54" customFormat="1" ht="29" x14ac:dyDescent="0.35">
      <c r="B1006" s="35" t="s">
        <v>4788</v>
      </c>
      <c r="C1006" s="80" t="s">
        <v>5036</v>
      </c>
      <c r="D1006" s="36">
        <v>45140</v>
      </c>
      <c r="E1006" s="36">
        <v>45397</v>
      </c>
      <c r="F1006" s="36">
        <v>45944</v>
      </c>
      <c r="G1006" s="64" t="s">
        <v>6</v>
      </c>
      <c r="H1006" s="35" t="s">
        <v>5037</v>
      </c>
      <c r="I1006" s="35" t="s">
        <v>2479</v>
      </c>
      <c r="J1006" s="43" t="s">
        <v>5065</v>
      </c>
      <c r="K1006" s="43" t="s">
        <v>4819</v>
      </c>
      <c r="L1006" s="30">
        <v>10000</v>
      </c>
      <c r="M1006" s="30">
        <v>0</v>
      </c>
      <c r="N1006" s="30">
        <v>0</v>
      </c>
      <c r="O1006" s="30">
        <f t="shared" si="17"/>
        <v>10000</v>
      </c>
      <c r="P1006" s="43" t="s">
        <v>2874</v>
      </c>
    </row>
    <row r="1007" spans="2:16" s="54" customFormat="1" ht="29" x14ac:dyDescent="0.35">
      <c r="B1007" s="35" t="s">
        <v>5137</v>
      </c>
      <c r="C1007" s="80" t="s">
        <v>5138</v>
      </c>
      <c r="D1007" s="36">
        <v>45363</v>
      </c>
      <c r="E1007" s="36">
        <v>45398</v>
      </c>
      <c r="F1007" s="36">
        <v>46492</v>
      </c>
      <c r="G1007" s="64" t="s">
        <v>6</v>
      </c>
      <c r="H1007" s="35" t="s">
        <v>5139</v>
      </c>
      <c r="I1007" s="35" t="s">
        <v>2492</v>
      </c>
      <c r="J1007" s="43" t="s">
        <v>5255</v>
      </c>
      <c r="K1007" s="43" t="s">
        <v>2583</v>
      </c>
      <c r="L1007" s="30">
        <v>3000</v>
      </c>
      <c r="M1007" s="30">
        <v>0</v>
      </c>
      <c r="N1007" s="30">
        <v>0</v>
      </c>
      <c r="O1007" s="30">
        <f t="shared" si="17"/>
        <v>3000</v>
      </c>
      <c r="P1007" s="44">
        <v>4.43</v>
      </c>
    </row>
    <row r="1008" spans="2:16" s="54" customFormat="1" ht="29" x14ac:dyDescent="0.35">
      <c r="B1008" s="35" t="s">
        <v>5140</v>
      </c>
      <c r="C1008" s="80" t="s">
        <v>5141</v>
      </c>
      <c r="D1008" s="36">
        <v>45363</v>
      </c>
      <c r="E1008" s="36">
        <v>45398</v>
      </c>
      <c r="F1008" s="36">
        <v>46492</v>
      </c>
      <c r="G1008" s="64" t="s">
        <v>6</v>
      </c>
      <c r="H1008" s="35" t="s">
        <v>5139</v>
      </c>
      <c r="I1008" s="35" t="s">
        <v>2492</v>
      </c>
      <c r="J1008" s="43" t="s">
        <v>5255</v>
      </c>
      <c r="K1008" s="43" t="s">
        <v>2586</v>
      </c>
      <c r="L1008" s="30">
        <v>55500</v>
      </c>
      <c r="M1008" s="30">
        <v>0</v>
      </c>
      <c r="N1008" s="30">
        <v>0</v>
      </c>
      <c r="O1008" s="30">
        <f t="shared" si="17"/>
        <v>55500</v>
      </c>
      <c r="P1008" s="44">
        <v>4.43</v>
      </c>
    </row>
    <row r="1009" spans="2:16" s="54" customFormat="1" x14ac:dyDescent="0.35">
      <c r="B1009" s="35" t="s">
        <v>5142</v>
      </c>
      <c r="C1009" s="80" t="s">
        <v>5143</v>
      </c>
      <c r="D1009" s="36">
        <v>45334</v>
      </c>
      <c r="E1009" s="36">
        <v>45398</v>
      </c>
      <c r="F1009" s="36">
        <v>46492</v>
      </c>
      <c r="G1009" s="64" t="s">
        <v>6</v>
      </c>
      <c r="H1009" s="35" t="s">
        <v>5144</v>
      </c>
      <c r="I1009" s="35" t="s">
        <v>2484</v>
      </c>
      <c r="J1009" s="43" t="s">
        <v>5256</v>
      </c>
      <c r="K1009" s="43" t="s">
        <v>2583</v>
      </c>
      <c r="L1009" s="30">
        <v>9000</v>
      </c>
      <c r="M1009" s="30">
        <v>0</v>
      </c>
      <c r="N1009" s="30">
        <v>0</v>
      </c>
      <c r="O1009" s="30">
        <f t="shared" si="17"/>
        <v>9000</v>
      </c>
      <c r="P1009" s="44">
        <v>1.25</v>
      </c>
    </row>
    <row r="1010" spans="2:16" s="54" customFormat="1" x14ac:dyDescent="0.35">
      <c r="B1010" s="35" t="s">
        <v>5145</v>
      </c>
      <c r="C1010" s="80" t="s">
        <v>5146</v>
      </c>
      <c r="D1010" s="36">
        <v>45334</v>
      </c>
      <c r="E1010" s="36">
        <v>45398</v>
      </c>
      <c r="F1010" s="36">
        <v>46492</v>
      </c>
      <c r="G1010" s="64" t="s">
        <v>6</v>
      </c>
      <c r="H1010" s="35" t="s">
        <v>5144</v>
      </c>
      <c r="I1010" s="35" t="s">
        <v>2484</v>
      </c>
      <c r="J1010" s="43" t="s">
        <v>5256</v>
      </c>
      <c r="K1010" s="43" t="s">
        <v>2586</v>
      </c>
      <c r="L1010" s="30">
        <v>80000</v>
      </c>
      <c r="M1010" s="30">
        <v>0</v>
      </c>
      <c r="N1010" s="30">
        <v>0</v>
      </c>
      <c r="O1010" s="30">
        <f t="shared" si="17"/>
        <v>80000</v>
      </c>
      <c r="P1010" s="44">
        <v>1.25</v>
      </c>
    </row>
    <row r="1011" spans="2:16" s="54" customFormat="1" x14ac:dyDescent="0.35">
      <c r="B1011" s="35" t="s">
        <v>4753</v>
      </c>
      <c r="C1011" s="80" t="s">
        <v>5149</v>
      </c>
      <c r="D1011" s="36">
        <v>45140</v>
      </c>
      <c r="E1011" s="36">
        <v>45398</v>
      </c>
      <c r="F1011" s="36">
        <v>46387</v>
      </c>
      <c r="G1011" s="64" t="s">
        <v>6</v>
      </c>
      <c r="H1011" s="35" t="s">
        <v>5150</v>
      </c>
      <c r="I1011" s="35" t="s">
        <v>2816</v>
      </c>
      <c r="J1011" s="43" t="s">
        <v>5236</v>
      </c>
      <c r="K1011" s="43" t="s">
        <v>3181</v>
      </c>
      <c r="L1011" s="30">
        <v>30000</v>
      </c>
      <c r="M1011" s="30">
        <v>0</v>
      </c>
      <c r="N1011" s="30">
        <f>5000+5000</f>
        <v>10000</v>
      </c>
      <c r="O1011" s="30">
        <f t="shared" si="17"/>
        <v>20000</v>
      </c>
      <c r="P1011" s="43" t="s">
        <v>2874</v>
      </c>
    </row>
    <row r="1012" spans="2:16" s="54" customFormat="1" x14ac:dyDescent="0.35">
      <c r="B1012" s="35" t="s">
        <v>4753</v>
      </c>
      <c r="C1012" s="80" t="s">
        <v>5151</v>
      </c>
      <c r="D1012" s="36">
        <v>45140</v>
      </c>
      <c r="E1012" s="36">
        <v>45398</v>
      </c>
      <c r="F1012" s="36">
        <v>46387</v>
      </c>
      <c r="G1012" s="64" t="s">
        <v>6</v>
      </c>
      <c r="H1012" s="35" t="s">
        <v>5152</v>
      </c>
      <c r="I1012" s="35" t="s">
        <v>2518</v>
      </c>
      <c r="J1012" s="43" t="s">
        <v>5236</v>
      </c>
      <c r="K1012" s="43" t="s">
        <v>3181</v>
      </c>
      <c r="L1012" s="30">
        <v>30000</v>
      </c>
      <c r="M1012" s="30">
        <v>0</v>
      </c>
      <c r="N1012" s="30">
        <f>5000+5000+5000</f>
        <v>15000</v>
      </c>
      <c r="O1012" s="30">
        <f t="shared" si="17"/>
        <v>15000</v>
      </c>
      <c r="P1012" s="43" t="s">
        <v>2874</v>
      </c>
    </row>
    <row r="1013" spans="2:16" s="54" customFormat="1" x14ac:dyDescent="0.35">
      <c r="B1013" s="35" t="s">
        <v>5038</v>
      </c>
      <c r="C1013" s="80" t="s">
        <v>5039</v>
      </c>
      <c r="D1013" s="36">
        <v>45334</v>
      </c>
      <c r="E1013" s="36">
        <v>45398</v>
      </c>
      <c r="F1013" s="36">
        <v>47223</v>
      </c>
      <c r="G1013" s="64" t="s">
        <v>6</v>
      </c>
      <c r="H1013" s="35" t="s">
        <v>1563</v>
      </c>
      <c r="I1013" s="35" t="s">
        <v>2490</v>
      </c>
      <c r="J1013" s="43" t="s">
        <v>5071</v>
      </c>
      <c r="K1013" s="43" t="s">
        <v>2583</v>
      </c>
      <c r="L1013" s="30">
        <v>22000</v>
      </c>
      <c r="M1013" s="30">
        <v>0</v>
      </c>
      <c r="N1013" s="30">
        <v>0</v>
      </c>
      <c r="O1013" s="30">
        <f t="shared" si="17"/>
        <v>22000</v>
      </c>
      <c r="P1013" s="44">
        <v>8.7100000000000009</v>
      </c>
    </row>
    <row r="1014" spans="2:16" s="54" customFormat="1" x14ac:dyDescent="0.35">
      <c r="B1014" s="35" t="s">
        <v>5040</v>
      </c>
      <c r="C1014" s="80" t="s">
        <v>5041</v>
      </c>
      <c r="D1014" s="36">
        <v>45342</v>
      </c>
      <c r="E1014" s="36">
        <v>45399</v>
      </c>
      <c r="F1014" s="36">
        <v>45422</v>
      </c>
      <c r="G1014" s="64" t="s">
        <v>6</v>
      </c>
      <c r="H1014" s="35" t="s">
        <v>3193</v>
      </c>
      <c r="I1014" s="35" t="s">
        <v>2518</v>
      </c>
      <c r="J1014" s="43" t="s">
        <v>5072</v>
      </c>
      <c r="K1014" s="43" t="s">
        <v>2581</v>
      </c>
      <c r="L1014" s="30">
        <v>4668</v>
      </c>
      <c r="M1014" s="30">
        <v>0</v>
      </c>
      <c r="N1014" s="30">
        <v>4668</v>
      </c>
      <c r="O1014" s="30">
        <f t="shared" si="17"/>
        <v>0</v>
      </c>
      <c r="P1014" s="43" t="s">
        <v>2874</v>
      </c>
    </row>
    <row r="1015" spans="2:16" s="54" customFormat="1" x14ac:dyDescent="0.35">
      <c r="B1015" s="35" t="s">
        <v>5042</v>
      </c>
      <c r="C1015" s="80" t="s">
        <v>5043</v>
      </c>
      <c r="D1015" s="36">
        <v>45329</v>
      </c>
      <c r="E1015" s="36">
        <v>45399</v>
      </c>
      <c r="F1015" s="36">
        <v>47224</v>
      </c>
      <c r="G1015" s="64" t="s">
        <v>5683</v>
      </c>
      <c r="H1015" s="35" t="s">
        <v>2266</v>
      </c>
      <c r="I1015" s="35" t="s">
        <v>5069</v>
      </c>
      <c r="J1015" s="43" t="s">
        <v>5070</v>
      </c>
      <c r="K1015" s="43" t="s">
        <v>2586</v>
      </c>
      <c r="L1015" s="30">
        <v>7735</v>
      </c>
      <c r="M1015" s="30">
        <v>0.4</v>
      </c>
      <c r="N1015" s="30">
        <v>7734.6</v>
      </c>
      <c r="O1015" s="30">
        <f t="shared" si="17"/>
        <v>0</v>
      </c>
      <c r="P1015" s="44">
        <v>1559.47</v>
      </c>
    </row>
    <row r="1016" spans="2:16" s="54" customFormat="1" x14ac:dyDescent="0.35">
      <c r="B1016" s="35" t="s">
        <v>5147</v>
      </c>
      <c r="C1016" s="80" t="s">
        <v>5148</v>
      </c>
      <c r="D1016" s="36">
        <v>45399</v>
      </c>
      <c r="E1016" s="36">
        <v>45399</v>
      </c>
      <c r="F1016" s="36">
        <v>47224</v>
      </c>
      <c r="G1016" s="64" t="s">
        <v>6</v>
      </c>
      <c r="H1016" s="35" t="s">
        <v>5257</v>
      </c>
      <c r="I1016" s="35" t="s">
        <v>2491</v>
      </c>
      <c r="J1016" s="43" t="s">
        <v>5258</v>
      </c>
      <c r="K1016" s="43" t="s">
        <v>2586</v>
      </c>
      <c r="L1016" s="30">
        <v>94548.72</v>
      </c>
      <c r="M1016" s="30">
        <v>0</v>
      </c>
      <c r="N1016" s="30">
        <v>0</v>
      </c>
      <c r="O1016" s="30">
        <f t="shared" si="17"/>
        <v>94548.72</v>
      </c>
      <c r="P1016" s="44">
        <v>-0.11</v>
      </c>
    </row>
    <row r="1017" spans="2:16" s="54" customFormat="1" x14ac:dyDescent="0.35">
      <c r="B1017" s="35" t="s">
        <v>5044</v>
      </c>
      <c r="C1017" s="80" t="s">
        <v>5045</v>
      </c>
      <c r="D1017" s="36">
        <v>45342</v>
      </c>
      <c r="E1017" s="36">
        <v>45399</v>
      </c>
      <c r="F1017" s="36">
        <v>45763</v>
      </c>
      <c r="G1017" s="64" t="s">
        <v>6</v>
      </c>
      <c r="H1017" s="35" t="s">
        <v>3139</v>
      </c>
      <c r="I1017" s="35" t="s">
        <v>2484</v>
      </c>
      <c r="J1017" s="43" t="s">
        <v>5073</v>
      </c>
      <c r="K1017" s="43" t="s">
        <v>2581</v>
      </c>
      <c r="L1017" s="30">
        <v>6631</v>
      </c>
      <c r="M1017" s="30">
        <v>0</v>
      </c>
      <c r="N1017" s="30">
        <v>6631</v>
      </c>
      <c r="O1017" s="30">
        <f t="shared" si="17"/>
        <v>0</v>
      </c>
      <c r="P1017" s="43" t="s">
        <v>2874</v>
      </c>
    </row>
    <row r="1018" spans="2:16" s="54" customFormat="1" x14ac:dyDescent="0.35">
      <c r="B1018" s="35" t="s">
        <v>5579</v>
      </c>
      <c r="C1018" s="80" t="s">
        <v>5580</v>
      </c>
      <c r="D1018" s="36">
        <v>45393</v>
      </c>
      <c r="E1018" s="36">
        <v>45401</v>
      </c>
      <c r="F1018" s="36">
        <v>47226</v>
      </c>
      <c r="G1018" s="64" t="s">
        <v>6</v>
      </c>
      <c r="H1018" s="35" t="s">
        <v>5581</v>
      </c>
      <c r="I1018" s="35" t="s">
        <v>2526</v>
      </c>
      <c r="J1018" s="43" t="s">
        <v>4746</v>
      </c>
      <c r="K1018" s="43" t="s">
        <v>2586</v>
      </c>
      <c r="L1018" s="30">
        <v>64950</v>
      </c>
      <c r="M1018" s="30">
        <v>0</v>
      </c>
      <c r="N1018" s="30">
        <v>0</v>
      </c>
      <c r="O1018" s="30">
        <f t="shared" si="17"/>
        <v>64950</v>
      </c>
      <c r="P1018" s="44">
        <v>2.5499999999999998</v>
      </c>
    </row>
    <row r="1019" spans="2:16" s="54" customFormat="1" x14ac:dyDescent="0.35">
      <c r="B1019" s="35" t="s">
        <v>5582</v>
      </c>
      <c r="C1019" s="80" t="s">
        <v>5583</v>
      </c>
      <c r="D1019" s="36">
        <v>45393</v>
      </c>
      <c r="E1019" s="36">
        <v>45401</v>
      </c>
      <c r="F1019" s="36">
        <v>47226</v>
      </c>
      <c r="G1019" s="64" t="s">
        <v>6</v>
      </c>
      <c r="H1019" s="35" t="s">
        <v>5581</v>
      </c>
      <c r="I1019" s="35" t="s">
        <v>2526</v>
      </c>
      <c r="J1019" s="43" t="s">
        <v>4746</v>
      </c>
      <c r="K1019" s="43" t="s">
        <v>2583</v>
      </c>
      <c r="L1019" s="30">
        <v>21875</v>
      </c>
      <c r="M1019" s="30">
        <v>0</v>
      </c>
      <c r="N1019" s="30">
        <v>0</v>
      </c>
      <c r="O1019" s="30">
        <f t="shared" si="17"/>
        <v>21875</v>
      </c>
      <c r="P1019" s="44">
        <v>2.5499999999999998</v>
      </c>
    </row>
    <row r="1020" spans="2:16" s="54" customFormat="1" ht="29" x14ac:dyDescent="0.35">
      <c r="B1020" s="35" t="s">
        <v>4788</v>
      </c>
      <c r="C1020" s="80" t="s">
        <v>5046</v>
      </c>
      <c r="D1020" s="36">
        <v>45140</v>
      </c>
      <c r="E1020" s="36">
        <v>45404</v>
      </c>
      <c r="F1020" s="36">
        <v>45951</v>
      </c>
      <c r="G1020" s="64" t="s">
        <v>6</v>
      </c>
      <c r="H1020" s="35" t="s">
        <v>5047</v>
      </c>
      <c r="I1020" s="35" t="s">
        <v>2816</v>
      </c>
      <c r="J1020" s="43" t="s">
        <v>5066</v>
      </c>
      <c r="K1020" s="43" t="s">
        <v>4819</v>
      </c>
      <c r="L1020" s="30">
        <v>10000</v>
      </c>
      <c r="M1020" s="30">
        <v>0</v>
      </c>
      <c r="N1020" s="30">
        <v>0</v>
      </c>
      <c r="O1020" s="30">
        <f t="shared" si="17"/>
        <v>10000</v>
      </c>
      <c r="P1020" s="43" t="s">
        <v>2874</v>
      </c>
    </row>
    <row r="1021" spans="2:16" s="54" customFormat="1" x14ac:dyDescent="0.35">
      <c r="B1021" s="35" t="s">
        <v>5023</v>
      </c>
      <c r="C1021" s="80" t="s">
        <v>5081</v>
      </c>
      <c r="D1021" s="36">
        <v>45140</v>
      </c>
      <c r="E1021" s="36">
        <v>45407</v>
      </c>
      <c r="F1021" s="36">
        <v>45179</v>
      </c>
      <c r="G1021" s="64" t="s">
        <v>6</v>
      </c>
      <c r="H1021" s="35" t="s">
        <v>5082</v>
      </c>
      <c r="I1021" s="35" t="s">
        <v>2480</v>
      </c>
      <c r="J1021" s="43" t="s">
        <v>2572</v>
      </c>
      <c r="K1021" s="43" t="s">
        <v>3384</v>
      </c>
      <c r="L1021" s="30">
        <v>40000</v>
      </c>
      <c r="M1021" s="30">
        <v>0</v>
      </c>
      <c r="N1021" s="30">
        <v>0</v>
      </c>
      <c r="O1021" s="30">
        <f t="shared" si="17"/>
        <v>40000</v>
      </c>
      <c r="P1021" s="43" t="s">
        <v>2874</v>
      </c>
    </row>
    <row r="1022" spans="2:16" s="54" customFormat="1" x14ac:dyDescent="0.35">
      <c r="B1022" s="35" t="s">
        <v>5153</v>
      </c>
      <c r="C1022" s="80" t="s">
        <v>5154</v>
      </c>
      <c r="D1022" s="36">
        <v>45399</v>
      </c>
      <c r="E1022" s="36">
        <v>45407</v>
      </c>
      <c r="F1022" s="36">
        <v>47232</v>
      </c>
      <c r="G1022" s="64" t="s">
        <v>6</v>
      </c>
      <c r="H1022" s="35" t="s">
        <v>5155</v>
      </c>
      <c r="I1022" s="35" t="s">
        <v>2514</v>
      </c>
      <c r="J1022" s="43" t="s">
        <v>5238</v>
      </c>
      <c r="K1022" s="43" t="s">
        <v>2583</v>
      </c>
      <c r="L1022" s="30">
        <v>173000</v>
      </c>
      <c r="M1022" s="30">
        <v>0</v>
      </c>
      <c r="N1022" s="30">
        <v>0</v>
      </c>
      <c r="O1022" s="30">
        <f t="shared" si="17"/>
        <v>173000</v>
      </c>
      <c r="P1022" s="44">
        <v>13.44</v>
      </c>
    </row>
    <row r="1023" spans="2:16" s="54" customFormat="1" x14ac:dyDescent="0.35">
      <c r="B1023" s="35" t="s">
        <v>5156</v>
      </c>
      <c r="C1023" s="80" t="s">
        <v>5157</v>
      </c>
      <c r="D1023" s="36">
        <v>45399</v>
      </c>
      <c r="E1023" s="36">
        <v>45407</v>
      </c>
      <c r="F1023" s="36">
        <v>47232</v>
      </c>
      <c r="G1023" s="64" t="s">
        <v>6</v>
      </c>
      <c r="H1023" s="35" t="s">
        <v>5155</v>
      </c>
      <c r="I1023" s="35" t="s">
        <v>2514</v>
      </c>
      <c r="J1023" s="43" t="s">
        <v>5238</v>
      </c>
      <c r="K1023" s="43" t="s">
        <v>2586</v>
      </c>
      <c r="L1023" s="30">
        <v>5300000</v>
      </c>
      <c r="M1023" s="30">
        <v>0</v>
      </c>
      <c r="N1023" s="30">
        <v>0</v>
      </c>
      <c r="O1023" s="30">
        <f t="shared" si="17"/>
        <v>5300000</v>
      </c>
      <c r="P1023" s="44">
        <v>13.44</v>
      </c>
    </row>
    <row r="1024" spans="2:16" s="54" customFormat="1" x14ac:dyDescent="0.35">
      <c r="B1024" s="35" t="s">
        <v>4753</v>
      </c>
      <c r="C1024" s="80" t="s">
        <v>5158</v>
      </c>
      <c r="D1024" s="36">
        <v>45140</v>
      </c>
      <c r="E1024" s="36">
        <v>45408</v>
      </c>
      <c r="F1024" s="36">
        <v>45808</v>
      </c>
      <c r="G1024" s="64" t="s">
        <v>6</v>
      </c>
      <c r="H1024" s="35" t="s">
        <v>5159</v>
      </c>
      <c r="I1024" s="35" t="s">
        <v>2643</v>
      </c>
      <c r="J1024" s="43" t="s">
        <v>5236</v>
      </c>
      <c r="K1024" s="43" t="s">
        <v>3181</v>
      </c>
      <c r="L1024" s="30">
        <v>15000</v>
      </c>
      <c r="M1024" s="30">
        <v>0</v>
      </c>
      <c r="N1024" s="30">
        <f>5000+5000</f>
        <v>10000</v>
      </c>
      <c r="O1024" s="30">
        <f t="shared" si="17"/>
        <v>5000</v>
      </c>
      <c r="P1024" s="43" t="s">
        <v>2874</v>
      </c>
    </row>
    <row r="1025" spans="2:16" s="54" customFormat="1" ht="29" x14ac:dyDescent="0.35">
      <c r="B1025" s="35" t="s">
        <v>4788</v>
      </c>
      <c r="C1025" s="80" t="s">
        <v>5160</v>
      </c>
      <c r="D1025" s="36">
        <v>45140</v>
      </c>
      <c r="E1025" s="36">
        <v>45408</v>
      </c>
      <c r="F1025" s="36">
        <v>45955</v>
      </c>
      <c r="G1025" s="64" t="s">
        <v>6</v>
      </c>
      <c r="H1025" s="35" t="s">
        <v>5161</v>
      </c>
      <c r="I1025" s="35" t="s">
        <v>2480</v>
      </c>
      <c r="J1025" s="43" t="s">
        <v>5259</v>
      </c>
      <c r="K1025" s="43" t="s">
        <v>4819</v>
      </c>
      <c r="L1025" s="30">
        <v>10000</v>
      </c>
      <c r="M1025" s="30">
        <v>0</v>
      </c>
      <c r="N1025" s="30">
        <v>0</v>
      </c>
      <c r="O1025" s="30">
        <f t="shared" si="17"/>
        <v>10000</v>
      </c>
      <c r="P1025" s="43" t="s">
        <v>2874</v>
      </c>
    </row>
    <row r="1026" spans="2:16" s="54" customFormat="1" ht="29" x14ac:dyDescent="0.35">
      <c r="B1026" s="35" t="s">
        <v>4788</v>
      </c>
      <c r="C1026" s="80" t="s">
        <v>5162</v>
      </c>
      <c r="D1026" s="36">
        <v>45140</v>
      </c>
      <c r="E1026" s="36">
        <v>45408</v>
      </c>
      <c r="F1026" s="36">
        <v>45955</v>
      </c>
      <c r="G1026" s="64" t="s">
        <v>6</v>
      </c>
      <c r="H1026" s="35" t="s">
        <v>5163</v>
      </c>
      <c r="I1026" s="35" t="s">
        <v>2505</v>
      </c>
      <c r="J1026" s="43" t="s">
        <v>5260</v>
      </c>
      <c r="K1026" s="43" t="s">
        <v>4819</v>
      </c>
      <c r="L1026" s="30">
        <v>5000</v>
      </c>
      <c r="M1026" s="30">
        <v>0</v>
      </c>
      <c r="N1026" s="30">
        <v>0</v>
      </c>
      <c r="O1026" s="30">
        <f t="shared" si="17"/>
        <v>5000</v>
      </c>
      <c r="P1026" s="43" t="s">
        <v>2874</v>
      </c>
    </row>
    <row r="1027" spans="2:16" s="54" customFormat="1" ht="29" x14ac:dyDescent="0.35">
      <c r="B1027" s="35" t="s">
        <v>5170</v>
      </c>
      <c r="C1027" s="80" t="s">
        <v>5171</v>
      </c>
      <c r="D1027" s="36">
        <v>45376</v>
      </c>
      <c r="E1027" s="36">
        <v>45408</v>
      </c>
      <c r="F1027" s="36">
        <v>47233</v>
      </c>
      <c r="G1027" s="64" t="s">
        <v>6</v>
      </c>
      <c r="H1027" s="35" t="s">
        <v>443</v>
      </c>
      <c r="I1027" s="35" t="s">
        <v>2480</v>
      </c>
      <c r="J1027" s="43" t="s">
        <v>5263</v>
      </c>
      <c r="K1027" s="43" t="s">
        <v>2583</v>
      </c>
      <c r="L1027" s="30">
        <v>105000</v>
      </c>
      <c r="M1027" s="30">
        <v>0</v>
      </c>
      <c r="N1027" s="30">
        <v>0</v>
      </c>
      <c r="O1027" s="30">
        <f t="shared" si="17"/>
        <v>105000</v>
      </c>
      <c r="P1027" s="44">
        <v>24.9</v>
      </c>
    </row>
    <row r="1028" spans="2:16" s="54" customFormat="1" ht="29" x14ac:dyDescent="0.35">
      <c r="B1028" s="35" t="s">
        <v>5172</v>
      </c>
      <c r="C1028" s="80" t="s">
        <v>5173</v>
      </c>
      <c r="D1028" s="36">
        <v>45385</v>
      </c>
      <c r="E1028" s="36">
        <v>45408</v>
      </c>
      <c r="F1028" s="36">
        <v>46502</v>
      </c>
      <c r="G1028" s="64" t="s">
        <v>6</v>
      </c>
      <c r="H1028" s="35" t="s">
        <v>443</v>
      </c>
      <c r="I1028" s="35" t="s">
        <v>2480</v>
      </c>
      <c r="J1028" s="43" t="s">
        <v>5263</v>
      </c>
      <c r="K1028" s="43" t="s">
        <v>5076</v>
      </c>
      <c r="L1028" s="30">
        <v>50000</v>
      </c>
      <c r="M1028" s="30">
        <v>0</v>
      </c>
      <c r="N1028" s="30">
        <v>0</v>
      </c>
      <c r="O1028" s="30">
        <f t="shared" si="17"/>
        <v>50000</v>
      </c>
      <c r="P1028" s="44">
        <v>24.9</v>
      </c>
    </row>
    <row r="1029" spans="2:16" s="54" customFormat="1" x14ac:dyDescent="0.35">
      <c r="B1029" s="35" t="s">
        <v>5390</v>
      </c>
      <c r="C1029" s="80" t="s">
        <v>5628</v>
      </c>
      <c r="D1029" s="36">
        <v>45526</v>
      </c>
      <c r="E1029" s="36">
        <v>45408</v>
      </c>
      <c r="F1029" s="36">
        <v>46502</v>
      </c>
      <c r="G1029" s="64" t="s">
        <v>6</v>
      </c>
      <c r="H1029" s="35" t="s">
        <v>5388</v>
      </c>
      <c r="I1029" s="35" t="s">
        <v>2476</v>
      </c>
      <c r="J1029" s="43" t="s">
        <v>4746</v>
      </c>
      <c r="K1029" s="43" t="s">
        <v>2583</v>
      </c>
      <c r="L1029" s="30">
        <v>52000</v>
      </c>
      <c r="M1029" s="30">
        <v>0</v>
      </c>
      <c r="N1029" s="30">
        <v>0</v>
      </c>
      <c r="O1029" s="30">
        <f t="shared" si="17"/>
        <v>52000</v>
      </c>
      <c r="P1029" s="44">
        <v>3.91</v>
      </c>
    </row>
    <row r="1030" spans="2:16" s="54" customFormat="1" x14ac:dyDescent="0.35">
      <c r="B1030" s="35" t="s">
        <v>5389</v>
      </c>
      <c r="C1030" s="80" t="s">
        <v>5629</v>
      </c>
      <c r="D1030" s="36">
        <v>45526</v>
      </c>
      <c r="E1030" s="36">
        <v>45408</v>
      </c>
      <c r="F1030" s="36">
        <v>47233</v>
      </c>
      <c r="G1030" s="64" t="s">
        <v>6</v>
      </c>
      <c r="H1030" s="35" t="s">
        <v>5388</v>
      </c>
      <c r="I1030" s="35" t="s">
        <v>2476</v>
      </c>
      <c r="J1030" s="43" t="s">
        <v>4746</v>
      </c>
      <c r="K1030" s="43" t="s">
        <v>2586</v>
      </c>
      <c r="L1030" s="30">
        <v>52000</v>
      </c>
      <c r="M1030" s="30">
        <v>0</v>
      </c>
      <c r="N1030" s="30">
        <v>0</v>
      </c>
      <c r="O1030" s="30">
        <f t="shared" si="17"/>
        <v>52000</v>
      </c>
      <c r="P1030" s="44">
        <v>3.91</v>
      </c>
    </row>
    <row r="1031" spans="2:16" s="54" customFormat="1" x14ac:dyDescent="0.35">
      <c r="B1031" s="35" t="s">
        <v>5174</v>
      </c>
      <c r="C1031" s="80" t="s">
        <v>5175</v>
      </c>
      <c r="D1031" s="36">
        <v>45405</v>
      </c>
      <c r="E1031" s="36">
        <v>45408</v>
      </c>
      <c r="F1031" s="36">
        <v>47233</v>
      </c>
      <c r="G1031" s="64" t="s">
        <v>6</v>
      </c>
      <c r="H1031" s="35" t="s">
        <v>5176</v>
      </c>
      <c r="I1031" s="35" t="s">
        <v>2540</v>
      </c>
      <c r="J1031" s="43" t="s">
        <v>5264</v>
      </c>
      <c r="K1031" s="43" t="s">
        <v>2583</v>
      </c>
      <c r="L1031" s="30">
        <v>24000</v>
      </c>
      <c r="M1031" s="30">
        <v>0</v>
      </c>
      <c r="N1031" s="30">
        <v>0</v>
      </c>
      <c r="O1031" s="30">
        <f t="shared" si="17"/>
        <v>24000</v>
      </c>
      <c r="P1031" s="44">
        <v>5.73</v>
      </c>
    </row>
    <row r="1032" spans="2:16" s="54" customFormat="1" x14ac:dyDescent="0.35">
      <c r="B1032" s="35" t="s">
        <v>5177</v>
      </c>
      <c r="C1032" s="80" t="s">
        <v>5178</v>
      </c>
      <c r="D1032" s="36">
        <v>45405</v>
      </c>
      <c r="E1032" s="36">
        <v>45408</v>
      </c>
      <c r="F1032" s="36">
        <v>47233</v>
      </c>
      <c r="G1032" s="64" t="s">
        <v>6</v>
      </c>
      <c r="H1032" s="35" t="s">
        <v>5176</v>
      </c>
      <c r="I1032" s="35" t="s">
        <v>2540</v>
      </c>
      <c r="J1032" s="43" t="s">
        <v>5264</v>
      </c>
      <c r="K1032" s="43" t="s">
        <v>2586</v>
      </c>
      <c r="L1032" s="30">
        <v>200000</v>
      </c>
      <c r="M1032" s="30">
        <v>0</v>
      </c>
      <c r="N1032" s="30">
        <v>0</v>
      </c>
      <c r="O1032" s="30">
        <f t="shared" si="17"/>
        <v>200000</v>
      </c>
      <c r="P1032" s="44">
        <v>5.73</v>
      </c>
    </row>
    <row r="1033" spans="2:16" s="54" customFormat="1" ht="29" x14ac:dyDescent="0.35">
      <c r="B1033" s="35" t="s">
        <v>5164</v>
      </c>
      <c r="C1033" s="80" t="s">
        <v>5165</v>
      </c>
      <c r="D1033" s="36">
        <v>45348</v>
      </c>
      <c r="E1033" s="36">
        <v>45412</v>
      </c>
      <c r="F1033" s="36">
        <v>46506</v>
      </c>
      <c r="G1033" s="64" t="s">
        <v>6</v>
      </c>
      <c r="H1033" s="35" t="s">
        <v>5166</v>
      </c>
      <c r="I1033" s="35" t="s">
        <v>2492</v>
      </c>
      <c r="J1033" s="43" t="s">
        <v>5261</v>
      </c>
      <c r="K1033" s="43" t="s">
        <v>2586</v>
      </c>
      <c r="L1033" s="30">
        <v>66815.240000000005</v>
      </c>
      <c r="M1033" s="30">
        <v>0</v>
      </c>
      <c r="N1033" s="30">
        <v>0</v>
      </c>
      <c r="O1033" s="30">
        <f t="shared" si="17"/>
        <v>66815.240000000005</v>
      </c>
      <c r="P1033" s="44">
        <v>-0.28999999999999998</v>
      </c>
    </row>
    <row r="1034" spans="2:16" s="54" customFormat="1" x14ac:dyDescent="0.35">
      <c r="B1034" s="35" t="s">
        <v>5167</v>
      </c>
      <c r="C1034" s="80" t="s">
        <v>5168</v>
      </c>
      <c r="D1034" s="36">
        <v>45376</v>
      </c>
      <c r="E1034" s="36">
        <v>45412</v>
      </c>
      <c r="F1034" s="36">
        <v>47237</v>
      </c>
      <c r="G1034" s="64" t="s">
        <v>6</v>
      </c>
      <c r="H1034" s="35" t="s">
        <v>5169</v>
      </c>
      <c r="I1034" s="35" t="s">
        <v>3491</v>
      </c>
      <c r="J1034" s="43" t="s">
        <v>5262</v>
      </c>
      <c r="K1034" s="43" t="s">
        <v>2586</v>
      </c>
      <c r="L1034" s="30">
        <v>37403</v>
      </c>
      <c r="M1034" s="30">
        <v>0</v>
      </c>
      <c r="N1034" s="30">
        <v>0</v>
      </c>
      <c r="O1034" s="30">
        <f t="shared" si="17"/>
        <v>37403</v>
      </c>
      <c r="P1034" s="44">
        <v>1.25</v>
      </c>
    </row>
    <row r="1035" spans="2:16" s="54" customFormat="1" x14ac:dyDescent="0.35">
      <c r="B1035" s="35" t="s">
        <v>4766</v>
      </c>
      <c r="C1035" s="80" t="s">
        <v>5382</v>
      </c>
      <c r="D1035" s="36">
        <v>45140</v>
      </c>
      <c r="E1035" s="36">
        <v>45413</v>
      </c>
      <c r="F1035" s="36">
        <v>45442</v>
      </c>
      <c r="G1035" s="64" t="s">
        <v>6</v>
      </c>
      <c r="H1035" s="35" t="s">
        <v>5381</v>
      </c>
      <c r="I1035" s="35" t="s">
        <v>2541</v>
      </c>
      <c r="J1035" s="43" t="s">
        <v>5407</v>
      </c>
      <c r="K1035" s="43" t="s">
        <v>5558</v>
      </c>
      <c r="L1035" s="30">
        <v>2080</v>
      </c>
      <c r="M1035" s="30">
        <v>0</v>
      </c>
      <c r="N1035" s="30">
        <v>0</v>
      </c>
      <c r="O1035" s="30">
        <f t="shared" si="17"/>
        <v>2080</v>
      </c>
      <c r="P1035" s="43" t="s">
        <v>2977</v>
      </c>
    </row>
    <row r="1036" spans="2:16" s="54" customFormat="1" x14ac:dyDescent="0.35">
      <c r="B1036" s="35" t="s">
        <v>4089</v>
      </c>
      <c r="C1036" s="80" t="s">
        <v>5191</v>
      </c>
      <c r="D1036" s="36">
        <v>45140</v>
      </c>
      <c r="E1036" s="36">
        <v>45413</v>
      </c>
      <c r="F1036" s="36">
        <v>45808</v>
      </c>
      <c r="G1036" s="64" t="s">
        <v>6</v>
      </c>
      <c r="H1036" s="35" t="s">
        <v>5192</v>
      </c>
      <c r="I1036" s="35" t="s">
        <v>2515</v>
      </c>
      <c r="J1036" s="43" t="s">
        <v>5268</v>
      </c>
      <c r="K1036" s="43" t="s">
        <v>2573</v>
      </c>
      <c r="L1036" s="30">
        <v>1440</v>
      </c>
      <c r="M1036" s="30">
        <v>0</v>
      </c>
      <c r="N1036" s="30">
        <v>1440</v>
      </c>
      <c r="O1036" s="30">
        <f t="shared" si="17"/>
        <v>0</v>
      </c>
      <c r="P1036" s="43" t="s">
        <v>2874</v>
      </c>
    </row>
    <row r="1037" spans="2:16" s="54" customFormat="1" ht="29" x14ac:dyDescent="0.35">
      <c r="B1037" s="35" t="s">
        <v>4089</v>
      </c>
      <c r="C1037" s="80" t="s">
        <v>5193</v>
      </c>
      <c r="D1037" s="36">
        <v>45140</v>
      </c>
      <c r="E1037" s="36">
        <v>45413</v>
      </c>
      <c r="F1037" s="36">
        <v>45808</v>
      </c>
      <c r="G1037" s="64" t="s">
        <v>5683</v>
      </c>
      <c r="H1037" s="35" t="s">
        <v>5194</v>
      </c>
      <c r="I1037" s="35" t="s">
        <v>2515</v>
      </c>
      <c r="J1037" s="43" t="s">
        <v>5269</v>
      </c>
      <c r="K1037" s="43" t="s">
        <v>2573</v>
      </c>
      <c r="L1037" s="30">
        <v>1440</v>
      </c>
      <c r="M1037" s="30">
        <v>40</v>
      </c>
      <c r="N1037" s="30">
        <v>1400</v>
      </c>
      <c r="O1037" s="30">
        <f t="shared" si="17"/>
        <v>0</v>
      </c>
      <c r="P1037" s="43" t="s">
        <v>6515</v>
      </c>
    </row>
    <row r="1038" spans="2:16" s="54" customFormat="1" x14ac:dyDescent="0.35">
      <c r="B1038" s="35" t="s">
        <v>4089</v>
      </c>
      <c r="C1038" s="80" t="s">
        <v>5197</v>
      </c>
      <c r="D1038" s="36">
        <v>45140</v>
      </c>
      <c r="E1038" s="36">
        <v>45413</v>
      </c>
      <c r="F1038" s="36">
        <v>45808</v>
      </c>
      <c r="G1038" s="64" t="s">
        <v>6</v>
      </c>
      <c r="H1038" s="35" t="s">
        <v>5198</v>
      </c>
      <c r="I1038" s="35" t="s">
        <v>2476</v>
      </c>
      <c r="J1038" s="43" t="s">
        <v>5271</v>
      </c>
      <c r="K1038" s="43" t="s">
        <v>2573</v>
      </c>
      <c r="L1038" s="30">
        <v>1440</v>
      </c>
      <c r="M1038" s="30">
        <v>0</v>
      </c>
      <c r="N1038" s="30">
        <v>1440</v>
      </c>
      <c r="O1038" s="30">
        <f t="shared" si="17"/>
        <v>0</v>
      </c>
      <c r="P1038" s="43" t="s">
        <v>2874</v>
      </c>
    </row>
    <row r="1039" spans="2:16" s="54" customFormat="1" ht="29" x14ac:dyDescent="0.35">
      <c r="B1039" s="35" t="s">
        <v>4111</v>
      </c>
      <c r="C1039" s="80" t="s">
        <v>5195</v>
      </c>
      <c r="D1039" s="36">
        <v>45140</v>
      </c>
      <c r="E1039" s="36">
        <v>45414</v>
      </c>
      <c r="F1039" s="36">
        <v>46173</v>
      </c>
      <c r="G1039" s="64" t="s">
        <v>6</v>
      </c>
      <c r="H1039" s="35" t="s">
        <v>5196</v>
      </c>
      <c r="I1039" s="35" t="s">
        <v>2642</v>
      </c>
      <c r="J1039" s="43" t="s">
        <v>5270</v>
      </c>
      <c r="K1039" s="43" t="s">
        <v>3555</v>
      </c>
      <c r="L1039" s="30">
        <v>8000</v>
      </c>
      <c r="M1039" s="30">
        <v>0</v>
      </c>
      <c r="N1039" s="30">
        <f>5951.5</f>
        <v>5951.5</v>
      </c>
      <c r="O1039" s="30">
        <f t="shared" si="17"/>
        <v>2048.5</v>
      </c>
      <c r="P1039" s="43" t="s">
        <v>2874</v>
      </c>
    </row>
    <row r="1040" spans="2:16" s="54" customFormat="1" ht="29" x14ac:dyDescent="0.35">
      <c r="B1040" s="35" t="s">
        <v>5179</v>
      </c>
      <c r="C1040" s="80" t="s">
        <v>5180</v>
      </c>
      <c r="D1040" s="36">
        <v>45393</v>
      </c>
      <c r="E1040" s="36">
        <v>45415</v>
      </c>
      <c r="F1040" s="36">
        <v>47240</v>
      </c>
      <c r="G1040" s="64" t="s">
        <v>6</v>
      </c>
      <c r="H1040" s="35" t="s">
        <v>5181</v>
      </c>
      <c r="I1040" s="35" t="s">
        <v>2526</v>
      </c>
      <c r="J1040" s="43" t="s">
        <v>5265</v>
      </c>
      <c r="K1040" s="43" t="s">
        <v>2586</v>
      </c>
      <c r="L1040" s="30">
        <v>450000</v>
      </c>
      <c r="M1040" s="30">
        <v>0</v>
      </c>
      <c r="N1040" s="30">
        <v>0</v>
      </c>
      <c r="O1040" s="30">
        <f t="shared" si="17"/>
        <v>450000</v>
      </c>
      <c r="P1040" s="44">
        <v>0.98</v>
      </c>
    </row>
    <row r="1041" spans="2:16" s="54" customFormat="1" ht="29" x14ac:dyDescent="0.35">
      <c r="B1041" s="35" t="s">
        <v>5182</v>
      </c>
      <c r="C1041" s="80" t="s">
        <v>5183</v>
      </c>
      <c r="D1041" s="36">
        <v>45362</v>
      </c>
      <c r="E1041" s="36">
        <v>45415</v>
      </c>
      <c r="F1041" s="36">
        <v>47240</v>
      </c>
      <c r="G1041" s="64" t="s">
        <v>6</v>
      </c>
      <c r="H1041" s="35" t="s">
        <v>5181</v>
      </c>
      <c r="I1041" s="35" t="s">
        <v>2526</v>
      </c>
      <c r="J1041" s="43" t="s">
        <v>5265</v>
      </c>
      <c r="K1041" s="43" t="s">
        <v>2583</v>
      </c>
      <c r="L1041" s="30">
        <v>40000</v>
      </c>
      <c r="M1041" s="30">
        <v>0</v>
      </c>
      <c r="N1041" s="30">
        <v>0</v>
      </c>
      <c r="O1041" s="30">
        <f t="shared" si="17"/>
        <v>40000</v>
      </c>
      <c r="P1041" s="44">
        <v>0.98</v>
      </c>
    </row>
    <row r="1042" spans="2:16" s="54" customFormat="1" ht="29" x14ac:dyDescent="0.35">
      <c r="B1042" s="35" t="s">
        <v>5184</v>
      </c>
      <c r="C1042" s="80" t="s">
        <v>5185</v>
      </c>
      <c r="D1042" s="36">
        <v>45362</v>
      </c>
      <c r="E1042" s="36">
        <v>45415</v>
      </c>
      <c r="F1042" s="36">
        <v>47240</v>
      </c>
      <c r="G1042" s="64" t="s">
        <v>6</v>
      </c>
      <c r="H1042" s="35" t="s">
        <v>5181</v>
      </c>
      <c r="I1042" s="35" t="s">
        <v>2526</v>
      </c>
      <c r="J1042" s="43" t="s">
        <v>5265</v>
      </c>
      <c r="K1042" s="43" t="s">
        <v>2585</v>
      </c>
      <c r="L1042" s="30">
        <v>548607</v>
      </c>
      <c r="M1042" s="30">
        <v>0</v>
      </c>
      <c r="N1042" s="30">
        <v>0</v>
      </c>
      <c r="O1042" s="30">
        <f t="shared" si="17"/>
        <v>548607</v>
      </c>
      <c r="P1042" s="44">
        <v>0.98</v>
      </c>
    </row>
    <row r="1043" spans="2:16" s="54" customFormat="1" ht="29" x14ac:dyDescent="0.35">
      <c r="B1043" s="35" t="s">
        <v>5387</v>
      </c>
      <c r="C1043" s="80" t="s">
        <v>5386</v>
      </c>
      <c r="D1043" s="36">
        <v>45337</v>
      </c>
      <c r="E1043" s="36">
        <v>45415</v>
      </c>
      <c r="F1043" s="36">
        <v>47240</v>
      </c>
      <c r="G1043" s="64" t="s">
        <v>6</v>
      </c>
      <c r="H1043" s="35" t="s">
        <v>5383</v>
      </c>
      <c r="I1043" s="35" t="s">
        <v>2480</v>
      </c>
      <c r="J1043" s="43" t="s">
        <v>5414</v>
      </c>
      <c r="K1043" s="43" t="s">
        <v>2583</v>
      </c>
      <c r="L1043" s="30">
        <v>8000</v>
      </c>
      <c r="M1043" s="30">
        <v>0</v>
      </c>
      <c r="N1043" s="30">
        <v>0</v>
      </c>
      <c r="O1043" s="30">
        <f t="shared" si="17"/>
        <v>8000</v>
      </c>
      <c r="P1043" s="44">
        <v>12.91</v>
      </c>
    </row>
    <row r="1044" spans="2:16" s="54" customFormat="1" x14ac:dyDescent="0.35">
      <c r="B1044" s="35" t="s">
        <v>5186</v>
      </c>
      <c r="C1044" s="80" t="s">
        <v>5187</v>
      </c>
      <c r="D1044" s="36">
        <v>45408</v>
      </c>
      <c r="E1044" s="36">
        <v>45415</v>
      </c>
      <c r="F1044" s="36">
        <v>46509</v>
      </c>
      <c r="G1044" s="64" t="s">
        <v>5683</v>
      </c>
      <c r="H1044" s="35" t="s">
        <v>208</v>
      </c>
      <c r="I1044" s="35" t="s">
        <v>2483</v>
      </c>
      <c r="J1044" s="43" t="s">
        <v>5266</v>
      </c>
      <c r="K1044" s="43" t="s">
        <v>2583</v>
      </c>
      <c r="L1044" s="30">
        <v>1750</v>
      </c>
      <c r="M1044" s="30">
        <v>1750</v>
      </c>
      <c r="N1044" s="30">
        <v>0</v>
      </c>
      <c r="O1044" s="30">
        <f t="shared" si="17"/>
        <v>0</v>
      </c>
      <c r="P1044" s="44">
        <v>5.78</v>
      </c>
    </row>
    <row r="1045" spans="2:16" s="54" customFormat="1" x14ac:dyDescent="0.35">
      <c r="B1045" s="35" t="s">
        <v>5188</v>
      </c>
      <c r="C1045" s="80" t="s">
        <v>5189</v>
      </c>
      <c r="D1045" s="36">
        <v>45408</v>
      </c>
      <c r="E1045" s="36">
        <v>45415</v>
      </c>
      <c r="F1045" s="36">
        <v>47240</v>
      </c>
      <c r="G1045" s="64" t="s">
        <v>5683</v>
      </c>
      <c r="H1045" s="35" t="s">
        <v>208</v>
      </c>
      <c r="I1045" s="35" t="s">
        <v>2483</v>
      </c>
      <c r="J1045" s="43" t="s">
        <v>5266</v>
      </c>
      <c r="K1045" s="43" t="s">
        <v>2586</v>
      </c>
      <c r="L1045" s="30">
        <v>1280104</v>
      </c>
      <c r="M1045" s="30">
        <v>1280104</v>
      </c>
      <c r="N1045" s="30">
        <v>0</v>
      </c>
      <c r="O1045" s="30">
        <f t="shared" si="17"/>
        <v>0</v>
      </c>
      <c r="P1045" s="44">
        <v>5.78</v>
      </c>
    </row>
    <row r="1046" spans="2:16" s="54" customFormat="1" ht="43.5" x14ac:dyDescent="0.35">
      <c r="B1046" s="35" t="s">
        <v>5206</v>
      </c>
      <c r="C1046" s="80" t="s">
        <v>5207</v>
      </c>
      <c r="D1046" s="36">
        <v>45405</v>
      </c>
      <c r="E1046" s="36">
        <v>45418</v>
      </c>
      <c r="F1046" s="36">
        <v>47244</v>
      </c>
      <c r="G1046" s="64" t="s">
        <v>6</v>
      </c>
      <c r="H1046" s="35" t="s">
        <v>1083</v>
      </c>
      <c r="I1046" s="35" t="s">
        <v>2480</v>
      </c>
      <c r="J1046" s="43" t="s">
        <v>3045</v>
      </c>
      <c r="K1046" s="43" t="s">
        <v>2586</v>
      </c>
      <c r="L1046" s="30">
        <v>420000</v>
      </c>
      <c r="M1046" s="30">
        <v>0</v>
      </c>
      <c r="N1046" s="30">
        <v>0</v>
      </c>
      <c r="O1046" s="30">
        <f t="shared" si="17"/>
        <v>420000</v>
      </c>
      <c r="P1046" s="44">
        <v>1.44</v>
      </c>
    </row>
    <row r="1047" spans="2:16" s="54" customFormat="1" x14ac:dyDescent="0.35">
      <c r="B1047" s="35" t="s">
        <v>5208</v>
      </c>
      <c r="C1047" s="80" t="s">
        <v>5209</v>
      </c>
      <c r="D1047" s="36">
        <v>45376</v>
      </c>
      <c r="E1047" s="36">
        <v>45419</v>
      </c>
      <c r="F1047" s="36">
        <v>46513</v>
      </c>
      <c r="G1047" s="64" t="s">
        <v>6</v>
      </c>
      <c r="H1047" s="35" t="s">
        <v>184</v>
      </c>
      <c r="I1047" s="35" t="s">
        <v>2501</v>
      </c>
      <c r="J1047" s="43" t="s">
        <v>5274</v>
      </c>
      <c r="K1047" s="43" t="s">
        <v>2583</v>
      </c>
      <c r="L1047" s="30">
        <v>52500</v>
      </c>
      <c r="M1047" s="30">
        <v>0</v>
      </c>
      <c r="N1047" s="30">
        <f>3930.54+2069.46</f>
        <v>6000</v>
      </c>
      <c r="O1047" s="30">
        <f t="shared" si="17"/>
        <v>46500</v>
      </c>
      <c r="P1047" s="44">
        <v>1.01</v>
      </c>
    </row>
    <row r="1048" spans="2:16" s="54" customFormat="1" x14ac:dyDescent="0.35">
      <c r="B1048" s="35" t="s">
        <v>5210</v>
      </c>
      <c r="C1048" s="80" t="s">
        <v>5211</v>
      </c>
      <c r="D1048" s="36">
        <v>45376</v>
      </c>
      <c r="E1048" s="36">
        <v>45419</v>
      </c>
      <c r="F1048" s="36">
        <v>46513</v>
      </c>
      <c r="G1048" s="64" t="s">
        <v>6</v>
      </c>
      <c r="H1048" s="35" t="s">
        <v>184</v>
      </c>
      <c r="I1048" s="35" t="s">
        <v>2501</v>
      </c>
      <c r="J1048" s="43" t="s">
        <v>5274</v>
      </c>
      <c r="K1048" s="43" t="s">
        <v>2586</v>
      </c>
      <c r="L1048" s="30">
        <v>1500000</v>
      </c>
      <c r="M1048" s="30">
        <v>0</v>
      </c>
      <c r="N1048" s="30">
        <f>259035.15</f>
        <v>259035.15</v>
      </c>
      <c r="O1048" s="30">
        <f t="shared" si="17"/>
        <v>1240964.8500000001</v>
      </c>
      <c r="P1048" s="44">
        <v>1.01</v>
      </c>
    </row>
    <row r="1049" spans="2:16" s="54" customFormat="1" x14ac:dyDescent="0.35">
      <c r="B1049" s="35" t="s">
        <v>5199</v>
      </c>
      <c r="C1049" s="80" t="s">
        <v>5200</v>
      </c>
      <c r="D1049" s="36">
        <v>45336</v>
      </c>
      <c r="E1049" s="36">
        <v>45421</v>
      </c>
      <c r="F1049" s="36">
        <v>47246</v>
      </c>
      <c r="G1049" s="64" t="s">
        <v>6</v>
      </c>
      <c r="H1049" s="35" t="s">
        <v>5201</v>
      </c>
      <c r="I1049" s="35" t="s">
        <v>2484</v>
      </c>
      <c r="J1049" s="43" t="s">
        <v>5272</v>
      </c>
      <c r="K1049" s="43" t="s">
        <v>2583</v>
      </c>
      <c r="L1049" s="30">
        <v>756397</v>
      </c>
      <c r="M1049" s="30">
        <v>0</v>
      </c>
      <c r="N1049" s="30">
        <v>0</v>
      </c>
      <c r="O1049" s="30">
        <f t="shared" si="17"/>
        <v>756397</v>
      </c>
      <c r="P1049" s="44">
        <v>14.42</v>
      </c>
    </row>
    <row r="1050" spans="2:16" s="54" customFormat="1" x14ac:dyDescent="0.35">
      <c r="B1050" s="35" t="s">
        <v>5202</v>
      </c>
      <c r="C1050" s="80" t="s">
        <v>5203</v>
      </c>
      <c r="D1050" s="36">
        <v>45334</v>
      </c>
      <c r="E1050" s="36">
        <v>45421</v>
      </c>
      <c r="F1050" s="36">
        <v>47246</v>
      </c>
      <c r="G1050" s="64" t="s">
        <v>6</v>
      </c>
      <c r="H1050" s="35" t="s">
        <v>5201</v>
      </c>
      <c r="I1050" s="35" t="s">
        <v>2484</v>
      </c>
      <c r="J1050" s="43" t="s">
        <v>5272</v>
      </c>
      <c r="K1050" s="43" t="s">
        <v>2585</v>
      </c>
      <c r="L1050" s="30">
        <v>5300000</v>
      </c>
      <c r="M1050" s="30">
        <v>0</v>
      </c>
      <c r="N1050" s="30">
        <f>1940000</f>
        <v>1940000</v>
      </c>
      <c r="O1050" s="30">
        <f t="shared" si="17"/>
        <v>3360000</v>
      </c>
      <c r="P1050" s="44">
        <v>14.42</v>
      </c>
    </row>
    <row r="1051" spans="2:16" s="54" customFormat="1" ht="29" x14ac:dyDescent="0.35">
      <c r="B1051" s="35" t="s">
        <v>5204</v>
      </c>
      <c r="C1051" s="80" t="s">
        <v>5205</v>
      </c>
      <c r="D1051" s="36">
        <v>45363</v>
      </c>
      <c r="E1051" s="36">
        <v>45421</v>
      </c>
      <c r="F1051" s="36">
        <v>47246</v>
      </c>
      <c r="G1051" s="64" t="s">
        <v>6</v>
      </c>
      <c r="H1051" s="35" t="s">
        <v>427</v>
      </c>
      <c r="I1051" s="35" t="s">
        <v>2484</v>
      </c>
      <c r="J1051" s="43" t="s">
        <v>5273</v>
      </c>
      <c r="K1051" s="43" t="s">
        <v>2586</v>
      </c>
      <c r="L1051" s="30">
        <v>1300000</v>
      </c>
      <c r="M1051" s="30">
        <v>0</v>
      </c>
      <c r="N1051" s="30">
        <f>850000</f>
        <v>850000</v>
      </c>
      <c r="O1051" s="30">
        <f t="shared" ref="O1051:O1113" si="18">L1051-M1051-N1051</f>
        <v>450000</v>
      </c>
      <c r="P1051" s="44">
        <v>12.74</v>
      </c>
    </row>
    <row r="1052" spans="2:16" s="54" customFormat="1" ht="29" x14ac:dyDescent="0.35">
      <c r="B1052" s="35" t="s">
        <v>5212</v>
      </c>
      <c r="C1052" s="80" t="s">
        <v>5213</v>
      </c>
      <c r="D1052" s="36">
        <v>45363</v>
      </c>
      <c r="E1052" s="36">
        <v>45425</v>
      </c>
      <c r="F1052" s="36">
        <v>47250</v>
      </c>
      <c r="G1052" s="64" t="s">
        <v>5683</v>
      </c>
      <c r="H1052" s="35" t="s">
        <v>427</v>
      </c>
      <c r="I1052" s="35" t="s">
        <v>2484</v>
      </c>
      <c r="J1052" s="43" t="s">
        <v>5273</v>
      </c>
      <c r="K1052" s="43" t="s">
        <v>2583</v>
      </c>
      <c r="L1052" s="30">
        <v>122500</v>
      </c>
      <c r="M1052" s="30">
        <v>112700</v>
      </c>
      <c r="N1052" s="30">
        <f>9800</f>
        <v>9800</v>
      </c>
      <c r="O1052" s="30">
        <f t="shared" si="18"/>
        <v>0</v>
      </c>
      <c r="P1052" s="44" t="s">
        <v>6797</v>
      </c>
    </row>
    <row r="1053" spans="2:16" s="54" customFormat="1" x14ac:dyDescent="0.35">
      <c r="B1053" s="35" t="s">
        <v>5214</v>
      </c>
      <c r="C1053" s="80" t="s">
        <v>5215</v>
      </c>
      <c r="D1053" s="36">
        <v>45219</v>
      </c>
      <c r="E1053" s="36">
        <v>45425</v>
      </c>
      <c r="F1053" s="36">
        <v>47250</v>
      </c>
      <c r="G1053" s="64" t="s">
        <v>6</v>
      </c>
      <c r="H1053" s="35" t="s">
        <v>5216</v>
      </c>
      <c r="I1053" s="35" t="s">
        <v>2491</v>
      </c>
      <c r="J1053" s="43" t="s">
        <v>5276</v>
      </c>
      <c r="K1053" s="43" t="s">
        <v>2586</v>
      </c>
      <c r="L1053" s="30">
        <v>47594</v>
      </c>
      <c r="M1053" s="30">
        <v>0</v>
      </c>
      <c r="N1053" s="30">
        <f>22327.5</f>
        <v>22327.5</v>
      </c>
      <c r="O1053" s="30">
        <f t="shared" si="18"/>
        <v>25266.5</v>
      </c>
      <c r="P1053" s="44">
        <v>8.52</v>
      </c>
    </row>
    <row r="1054" spans="2:16" s="54" customFormat="1" x14ac:dyDescent="0.35">
      <c r="B1054" s="35" t="s">
        <v>5217</v>
      </c>
      <c r="C1054" s="80" t="s">
        <v>5218</v>
      </c>
      <c r="D1054" s="36">
        <v>45406</v>
      </c>
      <c r="E1054" s="36">
        <v>45425</v>
      </c>
      <c r="F1054" s="36">
        <v>47250</v>
      </c>
      <c r="G1054" s="64" t="s">
        <v>6</v>
      </c>
      <c r="H1054" s="35" t="s">
        <v>5219</v>
      </c>
      <c r="I1054" s="35" t="s">
        <v>2492</v>
      </c>
      <c r="J1054" s="43" t="s">
        <v>5277</v>
      </c>
      <c r="K1054" s="43" t="s">
        <v>2586</v>
      </c>
      <c r="L1054" s="30">
        <v>61112</v>
      </c>
      <c r="M1054" s="30">
        <v>0</v>
      </c>
      <c r="N1054" s="30">
        <v>0</v>
      </c>
      <c r="O1054" s="30">
        <f t="shared" si="18"/>
        <v>61112</v>
      </c>
      <c r="P1054" s="44">
        <v>41.19</v>
      </c>
    </row>
    <row r="1055" spans="2:16" s="54" customFormat="1" x14ac:dyDescent="0.35">
      <c r="B1055" s="35" t="s">
        <v>4113</v>
      </c>
      <c r="C1055" s="80" t="s">
        <v>5220</v>
      </c>
      <c r="D1055" s="36">
        <v>45147</v>
      </c>
      <c r="E1055" s="36">
        <v>45425</v>
      </c>
      <c r="F1055" s="36">
        <v>46519</v>
      </c>
      <c r="G1055" s="64" t="s">
        <v>6</v>
      </c>
      <c r="H1055" s="35" t="s">
        <v>5221</v>
      </c>
      <c r="I1055" s="35" t="s">
        <v>2490</v>
      </c>
      <c r="J1055" s="43" t="s">
        <v>5278</v>
      </c>
      <c r="K1055" s="43" t="s">
        <v>2573</v>
      </c>
      <c r="L1055" s="30">
        <v>1000</v>
      </c>
      <c r="M1055" s="30">
        <v>0</v>
      </c>
      <c r="N1055" s="30">
        <v>1000</v>
      </c>
      <c r="O1055" s="30">
        <f t="shared" si="18"/>
        <v>0</v>
      </c>
      <c r="P1055" s="43" t="s">
        <v>2874</v>
      </c>
    </row>
    <row r="1056" spans="2:16" s="54" customFormat="1" x14ac:dyDescent="0.35">
      <c r="B1056" s="35" t="s">
        <v>4113</v>
      </c>
      <c r="C1056" s="80" t="s">
        <v>5222</v>
      </c>
      <c r="D1056" s="36">
        <v>45148</v>
      </c>
      <c r="E1056" s="36">
        <v>45425</v>
      </c>
      <c r="F1056" s="36">
        <v>46519</v>
      </c>
      <c r="G1056" s="64" t="s">
        <v>6</v>
      </c>
      <c r="H1056" s="35" t="s">
        <v>5223</v>
      </c>
      <c r="I1056" s="35" t="s">
        <v>2473</v>
      </c>
      <c r="J1056" s="43" t="s">
        <v>5279</v>
      </c>
      <c r="K1056" s="43" t="s">
        <v>2573</v>
      </c>
      <c r="L1056" s="30">
        <v>1000</v>
      </c>
      <c r="M1056" s="30">
        <v>0</v>
      </c>
      <c r="N1056" s="30">
        <v>916</v>
      </c>
      <c r="O1056" s="30">
        <f t="shared" si="18"/>
        <v>84</v>
      </c>
      <c r="P1056" s="43" t="s">
        <v>2874</v>
      </c>
    </row>
    <row r="1057" spans="2:16" s="54" customFormat="1" ht="43.5" x14ac:dyDescent="0.35">
      <c r="B1057" s="35" t="s">
        <v>4089</v>
      </c>
      <c r="C1057" s="80" t="s">
        <v>5224</v>
      </c>
      <c r="D1057" s="36">
        <v>45140</v>
      </c>
      <c r="E1057" s="36">
        <v>45425</v>
      </c>
      <c r="F1057" s="36">
        <v>45789</v>
      </c>
      <c r="G1057" s="64" t="s">
        <v>6</v>
      </c>
      <c r="H1057" s="35" t="s">
        <v>5225</v>
      </c>
      <c r="I1057" s="35" t="s">
        <v>2534</v>
      </c>
      <c r="J1057" s="43" t="s">
        <v>5280</v>
      </c>
      <c r="K1057" s="43" t="s">
        <v>2573</v>
      </c>
      <c r="L1057" s="30">
        <v>1440</v>
      </c>
      <c r="M1057" s="30">
        <v>0</v>
      </c>
      <c r="N1057" s="30">
        <v>1440</v>
      </c>
      <c r="O1057" s="30">
        <f t="shared" si="18"/>
        <v>0</v>
      </c>
      <c r="P1057" s="43" t="s">
        <v>2874</v>
      </c>
    </row>
    <row r="1058" spans="2:16" s="54" customFormat="1" x14ac:dyDescent="0.35">
      <c r="B1058" s="35" t="s">
        <v>4089</v>
      </c>
      <c r="C1058" s="80" t="s">
        <v>5226</v>
      </c>
      <c r="D1058" s="36">
        <v>45140</v>
      </c>
      <c r="E1058" s="36">
        <v>45425</v>
      </c>
      <c r="F1058" s="36">
        <v>45789</v>
      </c>
      <c r="G1058" s="64" t="s">
        <v>6</v>
      </c>
      <c r="H1058" s="35" t="s">
        <v>3850</v>
      </c>
      <c r="I1058" s="35" t="s">
        <v>2534</v>
      </c>
      <c r="J1058" s="43" t="s">
        <v>5281</v>
      </c>
      <c r="K1058" s="43" t="s">
        <v>2573</v>
      </c>
      <c r="L1058" s="30">
        <v>1440</v>
      </c>
      <c r="M1058" s="30">
        <v>0</v>
      </c>
      <c r="N1058" s="30">
        <v>1440</v>
      </c>
      <c r="O1058" s="30">
        <f t="shared" si="18"/>
        <v>0</v>
      </c>
      <c r="P1058" s="43" t="s">
        <v>2874</v>
      </c>
    </row>
    <row r="1059" spans="2:16" s="54" customFormat="1" ht="29" x14ac:dyDescent="0.35">
      <c r="B1059" s="35" t="s">
        <v>4111</v>
      </c>
      <c r="C1059" s="80" t="s">
        <v>5380</v>
      </c>
      <c r="D1059" s="36">
        <v>45140</v>
      </c>
      <c r="E1059" s="36">
        <v>45426</v>
      </c>
      <c r="F1059" s="36">
        <v>45790</v>
      </c>
      <c r="G1059" s="64" t="s">
        <v>6</v>
      </c>
      <c r="H1059" s="35" t="s">
        <v>5379</v>
      </c>
      <c r="I1059" s="35" t="s">
        <v>2495</v>
      </c>
      <c r="J1059" s="43" t="s">
        <v>5397</v>
      </c>
      <c r="K1059" s="43" t="s">
        <v>3555</v>
      </c>
      <c r="L1059" s="30">
        <v>1000</v>
      </c>
      <c r="M1059" s="30">
        <v>0</v>
      </c>
      <c r="N1059" s="30">
        <f>1000</f>
        <v>1000</v>
      </c>
      <c r="O1059" s="30">
        <f t="shared" si="18"/>
        <v>0</v>
      </c>
      <c r="P1059" s="43" t="s">
        <v>2874</v>
      </c>
    </row>
    <row r="1060" spans="2:16" s="54" customFormat="1" x14ac:dyDescent="0.35">
      <c r="B1060" s="35" t="s">
        <v>5230</v>
      </c>
      <c r="C1060" s="80" t="s">
        <v>5231</v>
      </c>
      <c r="D1060" s="36">
        <v>45342</v>
      </c>
      <c r="E1060" s="36">
        <v>45427</v>
      </c>
      <c r="F1060" s="36">
        <v>45791</v>
      </c>
      <c r="G1060" s="64" t="s">
        <v>6</v>
      </c>
      <c r="H1060" s="35" t="s">
        <v>849</v>
      </c>
      <c r="I1060" s="35" t="s">
        <v>2506</v>
      </c>
      <c r="J1060" s="43" t="s">
        <v>5283</v>
      </c>
      <c r="K1060" s="43" t="s">
        <v>2581</v>
      </c>
      <c r="L1060" s="30">
        <v>8430</v>
      </c>
      <c r="M1060" s="30">
        <v>0</v>
      </c>
      <c r="N1060" s="30">
        <v>8430</v>
      </c>
      <c r="O1060" s="30">
        <f t="shared" si="18"/>
        <v>0</v>
      </c>
      <c r="P1060" s="43" t="s">
        <v>2874</v>
      </c>
    </row>
    <row r="1061" spans="2:16" s="54" customFormat="1" x14ac:dyDescent="0.35">
      <c r="B1061" s="35" t="s">
        <v>5229</v>
      </c>
      <c r="C1061" s="94" t="s">
        <v>5851</v>
      </c>
      <c r="D1061" s="36">
        <v>45342</v>
      </c>
      <c r="E1061" s="36">
        <v>45428</v>
      </c>
      <c r="F1061" s="36">
        <v>45792</v>
      </c>
      <c r="G1061" s="64" t="s">
        <v>6</v>
      </c>
      <c r="H1061" s="35" t="s">
        <v>4109</v>
      </c>
      <c r="I1061" s="35" t="s">
        <v>2540</v>
      </c>
      <c r="J1061" s="43" t="s">
        <v>5686</v>
      </c>
      <c r="K1061" s="43" t="s">
        <v>2581</v>
      </c>
      <c r="L1061" s="30">
        <v>33631</v>
      </c>
      <c r="M1061" s="30">
        <v>0</v>
      </c>
      <c r="N1061" s="30">
        <v>33631</v>
      </c>
      <c r="O1061" s="30">
        <f t="shared" si="18"/>
        <v>0</v>
      </c>
      <c r="P1061" s="43" t="s">
        <v>2874</v>
      </c>
    </row>
    <row r="1062" spans="2:16" s="54" customFormat="1" ht="29" x14ac:dyDescent="0.35">
      <c r="B1062" s="35" t="s">
        <v>4799</v>
      </c>
      <c r="C1062" s="80" t="s">
        <v>5227</v>
      </c>
      <c r="D1062" s="36">
        <v>45140</v>
      </c>
      <c r="E1062" s="36">
        <v>45429</v>
      </c>
      <c r="F1062" s="36">
        <v>45473</v>
      </c>
      <c r="G1062" s="64" t="s">
        <v>6</v>
      </c>
      <c r="H1062" s="35" t="s">
        <v>5228</v>
      </c>
      <c r="I1062" s="35" t="s">
        <v>2491</v>
      </c>
      <c r="J1062" s="43" t="s">
        <v>5282</v>
      </c>
      <c r="K1062" s="43" t="s">
        <v>5558</v>
      </c>
      <c r="L1062" s="30">
        <v>60000</v>
      </c>
      <c r="M1062" s="30">
        <v>0</v>
      </c>
      <c r="N1062" s="30">
        <v>60000</v>
      </c>
      <c r="O1062" s="30">
        <f t="shared" si="18"/>
        <v>0</v>
      </c>
      <c r="P1062" s="43" t="s">
        <v>2977</v>
      </c>
    </row>
    <row r="1063" spans="2:16" s="54" customFormat="1" ht="29" x14ac:dyDescent="0.35">
      <c r="B1063" s="35" t="s">
        <v>4089</v>
      </c>
      <c r="C1063" s="80" t="s">
        <v>5190</v>
      </c>
      <c r="D1063" s="36">
        <v>45140</v>
      </c>
      <c r="E1063" s="36">
        <v>45432</v>
      </c>
      <c r="F1063" s="36">
        <v>45838</v>
      </c>
      <c r="G1063" s="64" t="s">
        <v>6</v>
      </c>
      <c r="H1063" s="35" t="s">
        <v>3146</v>
      </c>
      <c r="I1063" s="35" t="s">
        <v>2492</v>
      </c>
      <c r="J1063" s="43" t="s">
        <v>5267</v>
      </c>
      <c r="K1063" s="43" t="s">
        <v>2573</v>
      </c>
      <c r="L1063" s="30">
        <v>5411.2</v>
      </c>
      <c r="M1063" s="30">
        <v>0</v>
      </c>
      <c r="N1063" s="30">
        <f>5411.2</f>
        <v>5411.2</v>
      </c>
      <c r="O1063" s="30">
        <f t="shared" si="18"/>
        <v>0</v>
      </c>
      <c r="P1063" s="43" t="s">
        <v>2874</v>
      </c>
    </row>
    <row r="1064" spans="2:16" s="54" customFormat="1" x14ac:dyDescent="0.35">
      <c r="B1064" s="35" t="s">
        <v>4096</v>
      </c>
      <c r="C1064" s="80" t="s">
        <v>5232</v>
      </c>
      <c r="D1064" s="36">
        <v>45140</v>
      </c>
      <c r="E1064" s="36">
        <v>45432</v>
      </c>
      <c r="F1064" s="36">
        <v>45473</v>
      </c>
      <c r="G1064" s="64" t="s">
        <v>6</v>
      </c>
      <c r="H1064" s="35" t="s">
        <v>5233</v>
      </c>
      <c r="I1064" s="35" t="s">
        <v>2498</v>
      </c>
      <c r="J1064" s="43" t="s">
        <v>5284</v>
      </c>
      <c r="K1064" s="43" t="s">
        <v>3181</v>
      </c>
      <c r="L1064" s="30">
        <v>2800</v>
      </c>
      <c r="M1064" s="30">
        <v>0</v>
      </c>
      <c r="N1064" s="30">
        <v>0</v>
      </c>
      <c r="O1064" s="30">
        <f t="shared" si="18"/>
        <v>2800</v>
      </c>
      <c r="P1064" s="43" t="s">
        <v>2874</v>
      </c>
    </row>
    <row r="1065" spans="2:16" s="54" customFormat="1" x14ac:dyDescent="0.35">
      <c r="B1065" s="35" t="s">
        <v>5356</v>
      </c>
      <c r="C1065" s="80" t="s">
        <v>5355</v>
      </c>
      <c r="D1065" s="36">
        <v>45327</v>
      </c>
      <c r="E1065" s="36">
        <v>45432</v>
      </c>
      <c r="F1065" s="36">
        <v>47257</v>
      </c>
      <c r="G1065" s="64" t="s">
        <v>6</v>
      </c>
      <c r="H1065" s="35" t="s">
        <v>1083</v>
      </c>
      <c r="I1065" s="35" t="s">
        <v>2480</v>
      </c>
      <c r="J1065" s="43" t="s">
        <v>5412</v>
      </c>
      <c r="K1065" s="43" t="s">
        <v>2583</v>
      </c>
      <c r="L1065" s="30">
        <v>147500</v>
      </c>
      <c r="M1065" s="30">
        <v>0</v>
      </c>
      <c r="N1065" s="30">
        <f>44040</f>
        <v>44040</v>
      </c>
      <c r="O1065" s="30">
        <f t="shared" si="18"/>
        <v>103460</v>
      </c>
      <c r="P1065" s="44">
        <v>1.44</v>
      </c>
    </row>
    <row r="1066" spans="2:16" s="54" customFormat="1" x14ac:dyDescent="0.35">
      <c r="B1066" s="35" t="s">
        <v>5378</v>
      </c>
      <c r="C1066" s="80" t="s">
        <v>5377</v>
      </c>
      <c r="D1066" s="36">
        <v>45406</v>
      </c>
      <c r="E1066" s="36">
        <v>45433</v>
      </c>
      <c r="F1066" s="36">
        <v>46527</v>
      </c>
      <c r="G1066" s="64" t="s">
        <v>6</v>
      </c>
      <c r="H1066" s="35" t="s">
        <v>5357</v>
      </c>
      <c r="I1066" s="35" t="s">
        <v>2480</v>
      </c>
      <c r="J1066" s="43" t="s">
        <v>5423</v>
      </c>
      <c r="K1066" s="43" t="s">
        <v>2583</v>
      </c>
      <c r="L1066" s="30">
        <v>10500</v>
      </c>
      <c r="M1066" s="30">
        <v>0</v>
      </c>
      <c r="N1066" s="30">
        <v>0</v>
      </c>
      <c r="O1066" s="30">
        <f t="shared" si="18"/>
        <v>10500</v>
      </c>
      <c r="P1066" s="44">
        <v>6.47</v>
      </c>
    </row>
    <row r="1067" spans="2:16" s="54" customFormat="1" x14ac:dyDescent="0.35">
      <c r="B1067" s="35" t="s">
        <v>5454</v>
      </c>
      <c r="C1067" s="80" t="s">
        <v>5455</v>
      </c>
      <c r="D1067" s="36">
        <v>45334</v>
      </c>
      <c r="E1067" s="36">
        <v>45433</v>
      </c>
      <c r="F1067" s="36">
        <v>47258</v>
      </c>
      <c r="G1067" s="64" t="s">
        <v>6</v>
      </c>
      <c r="H1067" s="35" t="s">
        <v>5456</v>
      </c>
      <c r="I1067" s="35" t="s">
        <v>2509</v>
      </c>
      <c r="J1067" s="43" t="s">
        <v>5071</v>
      </c>
      <c r="K1067" s="43" t="s">
        <v>2586</v>
      </c>
      <c r="L1067" s="30">
        <v>1800000</v>
      </c>
      <c r="M1067" s="30">
        <v>0</v>
      </c>
      <c r="N1067" s="30">
        <v>0</v>
      </c>
      <c r="O1067" s="30">
        <f t="shared" si="18"/>
        <v>1800000</v>
      </c>
      <c r="P1067" s="44">
        <v>10.9</v>
      </c>
    </row>
    <row r="1068" spans="2:16" s="54" customFormat="1" ht="29" x14ac:dyDescent="0.35">
      <c r="B1068" s="35" t="s">
        <v>4788</v>
      </c>
      <c r="C1068" s="80" t="s">
        <v>5234</v>
      </c>
      <c r="D1068" s="36">
        <v>45140</v>
      </c>
      <c r="E1068" s="36">
        <v>45433</v>
      </c>
      <c r="F1068" s="36">
        <v>45981</v>
      </c>
      <c r="G1068" s="64" t="s">
        <v>6</v>
      </c>
      <c r="H1068" s="35" t="s">
        <v>5235</v>
      </c>
      <c r="I1068" s="35" t="s">
        <v>3491</v>
      </c>
      <c r="J1068" s="43" t="s">
        <v>5285</v>
      </c>
      <c r="K1068" s="43" t="s">
        <v>4819</v>
      </c>
      <c r="L1068" s="30">
        <v>5000</v>
      </c>
      <c r="M1068" s="30">
        <v>0</v>
      </c>
      <c r="N1068" s="30">
        <v>0</v>
      </c>
      <c r="O1068" s="30">
        <f t="shared" si="18"/>
        <v>5000</v>
      </c>
      <c r="P1068" s="43" t="s">
        <v>2874</v>
      </c>
    </row>
    <row r="1069" spans="2:16" s="54" customFormat="1" x14ac:dyDescent="0.35">
      <c r="B1069" s="35" t="s">
        <v>5371</v>
      </c>
      <c r="C1069" s="80" t="s">
        <v>5370</v>
      </c>
      <c r="D1069" s="36">
        <v>45376</v>
      </c>
      <c r="E1069" s="36">
        <v>45434</v>
      </c>
      <c r="F1069" s="36">
        <v>45433</v>
      </c>
      <c r="G1069" s="64" t="s">
        <v>6</v>
      </c>
      <c r="H1069" s="35" t="s">
        <v>5360</v>
      </c>
      <c r="I1069" s="35" t="s">
        <v>3491</v>
      </c>
      <c r="J1069" s="43" t="s">
        <v>5423</v>
      </c>
      <c r="K1069" s="43" t="s">
        <v>2586</v>
      </c>
      <c r="L1069" s="30">
        <v>37000</v>
      </c>
      <c r="M1069" s="30">
        <v>0</v>
      </c>
      <c r="N1069" s="30">
        <v>0</v>
      </c>
      <c r="O1069" s="30">
        <f t="shared" si="18"/>
        <v>37000</v>
      </c>
      <c r="P1069" s="44">
        <v>1.03</v>
      </c>
    </row>
    <row r="1070" spans="2:16" s="54" customFormat="1" x14ac:dyDescent="0.35">
      <c r="B1070" s="35" t="s">
        <v>5376</v>
      </c>
      <c r="C1070" s="80" t="s">
        <v>5375</v>
      </c>
      <c r="D1070" s="36">
        <v>45433</v>
      </c>
      <c r="E1070" s="36">
        <v>45435</v>
      </c>
      <c r="F1070" s="36">
        <v>47260</v>
      </c>
      <c r="G1070" s="64" t="s">
        <v>6</v>
      </c>
      <c r="H1070" s="35" t="s">
        <v>5372</v>
      </c>
      <c r="I1070" s="35" t="s">
        <v>2483</v>
      </c>
      <c r="J1070" s="43" t="s">
        <v>4750</v>
      </c>
      <c r="K1070" s="43" t="s">
        <v>2586</v>
      </c>
      <c r="L1070" s="30">
        <v>4800000</v>
      </c>
      <c r="M1070" s="30">
        <v>0</v>
      </c>
      <c r="N1070" s="30">
        <v>0</v>
      </c>
      <c r="O1070" s="30">
        <f t="shared" si="18"/>
        <v>4800000</v>
      </c>
      <c r="P1070" s="44">
        <v>1.81</v>
      </c>
    </row>
    <row r="1071" spans="2:16" s="54" customFormat="1" x14ac:dyDescent="0.35">
      <c r="B1071" s="35" t="s">
        <v>5374</v>
      </c>
      <c r="C1071" s="80" t="s">
        <v>5373</v>
      </c>
      <c r="D1071" s="36">
        <v>45433</v>
      </c>
      <c r="E1071" s="36">
        <v>45435</v>
      </c>
      <c r="F1071" s="36">
        <v>47260</v>
      </c>
      <c r="G1071" s="64" t="s">
        <v>6</v>
      </c>
      <c r="H1071" s="35" t="s">
        <v>5372</v>
      </c>
      <c r="I1071" s="35" t="s">
        <v>2483</v>
      </c>
      <c r="J1071" s="43" t="s">
        <v>4750</v>
      </c>
      <c r="K1071" s="43" t="s">
        <v>2583</v>
      </c>
      <c r="L1071" s="30">
        <v>180000</v>
      </c>
      <c r="M1071" s="30">
        <v>0</v>
      </c>
      <c r="N1071" s="30">
        <v>0</v>
      </c>
      <c r="O1071" s="30">
        <f t="shared" si="18"/>
        <v>180000</v>
      </c>
      <c r="P1071" s="44">
        <v>1.81</v>
      </c>
    </row>
    <row r="1072" spans="2:16" s="54" customFormat="1" x14ac:dyDescent="0.35">
      <c r="B1072" s="35" t="s">
        <v>4685</v>
      </c>
      <c r="C1072" s="80" t="s">
        <v>5463</v>
      </c>
      <c r="D1072" s="36">
        <v>45239</v>
      </c>
      <c r="E1072" s="36">
        <v>45440</v>
      </c>
      <c r="F1072" s="36">
        <v>45473</v>
      </c>
      <c r="G1072" s="64" t="s">
        <v>6</v>
      </c>
      <c r="H1072" s="35" t="s">
        <v>5340</v>
      </c>
      <c r="I1072" s="35" t="s">
        <v>2480</v>
      </c>
      <c r="J1072" s="43" t="s">
        <v>5413</v>
      </c>
      <c r="K1072" s="43" t="s">
        <v>3412</v>
      </c>
      <c r="L1072" s="30">
        <v>33000</v>
      </c>
      <c r="M1072" s="30">
        <v>0</v>
      </c>
      <c r="N1072" s="30">
        <v>0</v>
      </c>
      <c r="O1072" s="30">
        <f t="shared" si="18"/>
        <v>33000</v>
      </c>
      <c r="P1072" s="43" t="s">
        <v>2874</v>
      </c>
    </row>
    <row r="1073" spans="2:16" s="54" customFormat="1" x14ac:dyDescent="0.35">
      <c r="B1073" s="35" t="s">
        <v>5367</v>
      </c>
      <c r="C1073" s="80" t="s">
        <v>5366</v>
      </c>
      <c r="D1073" s="36">
        <v>45399</v>
      </c>
      <c r="E1073" s="36">
        <v>45441</v>
      </c>
      <c r="F1073" s="36">
        <v>47266</v>
      </c>
      <c r="G1073" s="64" t="s">
        <v>6</v>
      </c>
      <c r="H1073" s="35" t="s">
        <v>5363</v>
      </c>
      <c r="I1073" s="35" t="s">
        <v>2491</v>
      </c>
      <c r="J1073" s="43" t="s">
        <v>4748</v>
      </c>
      <c r="K1073" s="43" t="s">
        <v>2583</v>
      </c>
      <c r="L1073" s="30">
        <v>2000</v>
      </c>
      <c r="M1073" s="30">
        <v>0</v>
      </c>
      <c r="N1073" s="30">
        <v>0</v>
      </c>
      <c r="O1073" s="30">
        <f t="shared" si="18"/>
        <v>2000</v>
      </c>
      <c r="P1073" s="44">
        <v>4.34</v>
      </c>
    </row>
    <row r="1074" spans="2:16" s="54" customFormat="1" x14ac:dyDescent="0.35">
      <c r="B1074" s="35" t="s">
        <v>5365</v>
      </c>
      <c r="C1074" s="80" t="s">
        <v>5364</v>
      </c>
      <c r="D1074" s="36">
        <v>45399</v>
      </c>
      <c r="E1074" s="36">
        <v>45441</v>
      </c>
      <c r="F1074" s="36">
        <v>47266</v>
      </c>
      <c r="G1074" s="64" t="s">
        <v>6</v>
      </c>
      <c r="H1074" s="35" t="s">
        <v>5363</v>
      </c>
      <c r="I1074" s="35" t="s">
        <v>2491</v>
      </c>
      <c r="J1074" s="43" t="s">
        <v>4748</v>
      </c>
      <c r="K1074" s="43" t="s">
        <v>2586</v>
      </c>
      <c r="L1074" s="30">
        <v>60000</v>
      </c>
      <c r="M1074" s="30">
        <v>0</v>
      </c>
      <c r="N1074" s="30">
        <v>0</v>
      </c>
      <c r="O1074" s="30">
        <f t="shared" si="18"/>
        <v>60000</v>
      </c>
      <c r="P1074" s="44">
        <v>4.34</v>
      </c>
    </row>
    <row r="1075" spans="2:16" s="54" customFormat="1" x14ac:dyDescent="0.35">
      <c r="B1075" s="35" t="s">
        <v>5362</v>
      </c>
      <c r="C1075" s="80" t="s">
        <v>5361</v>
      </c>
      <c r="D1075" s="36">
        <v>45376</v>
      </c>
      <c r="E1075" s="36">
        <v>45441</v>
      </c>
      <c r="F1075" s="36">
        <v>46535</v>
      </c>
      <c r="G1075" s="64" t="s">
        <v>6</v>
      </c>
      <c r="H1075" s="35" t="s">
        <v>5360</v>
      </c>
      <c r="I1075" s="35" t="s">
        <v>3491</v>
      </c>
      <c r="J1075" s="43" t="s">
        <v>5423</v>
      </c>
      <c r="K1075" s="43" t="s">
        <v>2583</v>
      </c>
      <c r="L1075" s="30">
        <v>7500</v>
      </c>
      <c r="M1075" s="30">
        <v>0</v>
      </c>
      <c r="N1075" s="30">
        <v>0</v>
      </c>
      <c r="O1075" s="30">
        <f t="shared" si="18"/>
        <v>7500</v>
      </c>
      <c r="P1075" s="44">
        <v>1.03</v>
      </c>
    </row>
    <row r="1076" spans="2:16" s="54" customFormat="1" x14ac:dyDescent="0.35">
      <c r="B1076" s="35" t="s">
        <v>5359</v>
      </c>
      <c r="C1076" s="80" t="s">
        <v>5358</v>
      </c>
      <c r="D1076" s="36">
        <v>45406</v>
      </c>
      <c r="E1076" s="36">
        <v>45441</v>
      </c>
      <c r="F1076" s="36">
        <v>46535</v>
      </c>
      <c r="G1076" s="64" t="s">
        <v>6</v>
      </c>
      <c r="H1076" s="35" t="s">
        <v>5357</v>
      </c>
      <c r="I1076" s="35" t="s">
        <v>2480</v>
      </c>
      <c r="J1076" s="43" t="s">
        <v>5423</v>
      </c>
      <c r="K1076" s="43" t="s">
        <v>2586</v>
      </c>
      <c r="L1076" s="30">
        <v>10000</v>
      </c>
      <c r="M1076" s="30">
        <v>0</v>
      </c>
      <c r="N1076" s="30">
        <v>0</v>
      </c>
      <c r="O1076" s="30">
        <f t="shared" si="18"/>
        <v>10000</v>
      </c>
      <c r="P1076" s="44">
        <v>6.47</v>
      </c>
    </row>
    <row r="1077" spans="2:16" s="54" customFormat="1" x14ac:dyDescent="0.35">
      <c r="B1077" s="35" t="s">
        <v>5457</v>
      </c>
      <c r="C1077" s="80" t="s">
        <v>5458</v>
      </c>
      <c r="D1077" s="36">
        <v>45376</v>
      </c>
      <c r="E1077" s="36">
        <v>45441</v>
      </c>
      <c r="F1077" s="36">
        <v>46535</v>
      </c>
      <c r="G1077" s="64" t="s">
        <v>6</v>
      </c>
      <c r="H1077" s="35" t="s">
        <v>5459</v>
      </c>
      <c r="I1077" s="35" t="s">
        <v>3491</v>
      </c>
      <c r="J1077" s="43" t="s">
        <v>5554</v>
      </c>
      <c r="K1077" s="43" t="s">
        <v>2586</v>
      </c>
      <c r="L1077" s="30">
        <v>30000</v>
      </c>
      <c r="M1077" s="30">
        <v>0</v>
      </c>
      <c r="N1077" s="30">
        <v>0</v>
      </c>
      <c r="O1077" s="30">
        <f t="shared" si="18"/>
        <v>30000</v>
      </c>
      <c r="P1077" s="44">
        <v>40.479999999999997</v>
      </c>
    </row>
    <row r="1078" spans="2:16" s="54" customFormat="1" x14ac:dyDescent="0.35">
      <c r="B1078" s="35" t="s">
        <v>5352</v>
      </c>
      <c r="C1078" s="80" t="s">
        <v>5351</v>
      </c>
      <c r="D1078" s="36">
        <v>45342</v>
      </c>
      <c r="E1078" s="36">
        <v>45443</v>
      </c>
      <c r="F1078" s="36">
        <v>45807</v>
      </c>
      <c r="G1078" s="64" t="s">
        <v>6</v>
      </c>
      <c r="H1078" s="35" t="s">
        <v>786</v>
      </c>
      <c r="I1078" s="35" t="s">
        <v>3491</v>
      </c>
      <c r="J1078" s="43" t="s">
        <v>5417</v>
      </c>
      <c r="K1078" s="43" t="s">
        <v>2581</v>
      </c>
      <c r="L1078" s="30">
        <v>5442</v>
      </c>
      <c r="M1078" s="30">
        <v>0</v>
      </c>
      <c r="N1078" s="30">
        <v>5442</v>
      </c>
      <c r="O1078" s="30">
        <f t="shared" si="18"/>
        <v>0</v>
      </c>
      <c r="P1078" s="43" t="s">
        <v>2874</v>
      </c>
    </row>
    <row r="1079" spans="2:16" s="54" customFormat="1" x14ac:dyDescent="0.35">
      <c r="B1079" s="35" t="s">
        <v>5344</v>
      </c>
      <c r="C1079" s="80" t="s">
        <v>5343</v>
      </c>
      <c r="D1079" s="36">
        <v>45357</v>
      </c>
      <c r="E1079" s="36">
        <v>45443</v>
      </c>
      <c r="F1079" s="36">
        <v>45807</v>
      </c>
      <c r="G1079" s="64" t="s">
        <v>6</v>
      </c>
      <c r="H1079" s="35" t="s">
        <v>777</v>
      </c>
      <c r="I1079" s="35" t="s">
        <v>2480</v>
      </c>
      <c r="J1079" s="43" t="s">
        <v>5421</v>
      </c>
      <c r="K1079" s="43" t="s">
        <v>2581</v>
      </c>
      <c r="L1079" s="30">
        <v>1667</v>
      </c>
      <c r="M1079" s="30">
        <v>0</v>
      </c>
      <c r="N1079" s="30">
        <v>1667</v>
      </c>
      <c r="O1079" s="30">
        <f t="shared" si="18"/>
        <v>0</v>
      </c>
      <c r="P1079" s="43" t="s">
        <v>2874</v>
      </c>
    </row>
    <row r="1080" spans="2:16" s="54" customFormat="1" ht="29" x14ac:dyDescent="0.35">
      <c r="B1080" s="35" t="s">
        <v>5342</v>
      </c>
      <c r="C1080" s="80" t="s">
        <v>5341</v>
      </c>
      <c r="D1080" s="36">
        <v>45357</v>
      </c>
      <c r="E1080" s="36">
        <v>45443</v>
      </c>
      <c r="F1080" s="36">
        <v>45807</v>
      </c>
      <c r="G1080" s="64" t="s">
        <v>6</v>
      </c>
      <c r="H1080" s="35" t="s">
        <v>1414</v>
      </c>
      <c r="I1080" s="35" t="s">
        <v>2484</v>
      </c>
      <c r="J1080" s="43" t="s">
        <v>5422</v>
      </c>
      <c r="K1080" s="43" t="s">
        <v>2581</v>
      </c>
      <c r="L1080" s="30">
        <v>2626</v>
      </c>
      <c r="M1080" s="30">
        <v>0</v>
      </c>
      <c r="N1080" s="30">
        <f>2626</f>
        <v>2626</v>
      </c>
      <c r="O1080" s="30">
        <f t="shared" si="18"/>
        <v>0</v>
      </c>
      <c r="P1080" s="43" t="s">
        <v>2874</v>
      </c>
    </row>
    <row r="1081" spans="2:16" s="54" customFormat="1" ht="29" x14ac:dyDescent="0.35">
      <c r="B1081" s="35" t="s">
        <v>5339</v>
      </c>
      <c r="C1081" s="80" t="s">
        <v>5338</v>
      </c>
      <c r="D1081" s="36">
        <v>45357</v>
      </c>
      <c r="E1081" s="36">
        <v>45443</v>
      </c>
      <c r="F1081" s="36">
        <v>45807</v>
      </c>
      <c r="G1081" s="64" t="s">
        <v>6</v>
      </c>
      <c r="H1081" s="35" t="s">
        <v>5337</v>
      </c>
      <c r="I1081" s="35" t="s">
        <v>3491</v>
      </c>
      <c r="J1081" s="43" t="s">
        <v>5420</v>
      </c>
      <c r="K1081" s="43" t="s">
        <v>2581</v>
      </c>
      <c r="L1081" s="30">
        <v>69564</v>
      </c>
      <c r="M1081" s="30">
        <v>0</v>
      </c>
      <c r="N1081" s="30">
        <v>69564</v>
      </c>
      <c r="O1081" s="30">
        <f t="shared" si="18"/>
        <v>0</v>
      </c>
      <c r="P1081" s="43" t="s">
        <v>2874</v>
      </c>
    </row>
    <row r="1082" spans="2:16" s="54" customFormat="1" x14ac:dyDescent="0.35">
      <c r="B1082" s="35" t="s">
        <v>5586</v>
      </c>
      <c r="C1082" s="80" t="s">
        <v>5587</v>
      </c>
      <c r="D1082" s="36">
        <v>45473</v>
      </c>
      <c r="E1082" s="36">
        <v>45446</v>
      </c>
      <c r="F1082" s="36">
        <v>45807</v>
      </c>
      <c r="G1082" s="64" t="s">
        <v>6</v>
      </c>
      <c r="H1082" s="35" t="s">
        <v>1414</v>
      </c>
      <c r="I1082" s="35" t="s">
        <v>2484</v>
      </c>
      <c r="J1082" s="43" t="s">
        <v>5665</v>
      </c>
      <c r="K1082" s="43" t="s">
        <v>2581</v>
      </c>
      <c r="L1082" s="30">
        <v>1969</v>
      </c>
      <c r="M1082" s="30">
        <v>0</v>
      </c>
      <c r="N1082" s="30">
        <f>1969</f>
        <v>1969</v>
      </c>
      <c r="O1082" s="30">
        <f t="shared" si="18"/>
        <v>0</v>
      </c>
      <c r="P1082" s="44" t="s">
        <v>2874</v>
      </c>
    </row>
    <row r="1083" spans="2:16" s="54" customFormat="1" ht="29" x14ac:dyDescent="0.35">
      <c r="B1083" s="35" t="s">
        <v>4089</v>
      </c>
      <c r="C1083" s="80" t="s">
        <v>5336</v>
      </c>
      <c r="D1083" s="36">
        <v>45140</v>
      </c>
      <c r="E1083" s="36">
        <v>45446</v>
      </c>
      <c r="F1083" s="36">
        <v>45838</v>
      </c>
      <c r="G1083" s="64" t="s">
        <v>6</v>
      </c>
      <c r="H1083" s="35" t="s">
        <v>5335</v>
      </c>
      <c r="I1083" s="35" t="s">
        <v>2495</v>
      </c>
      <c r="J1083" s="43" t="s">
        <v>5393</v>
      </c>
      <c r="K1083" s="43" t="s">
        <v>2573</v>
      </c>
      <c r="L1083" s="30">
        <v>2715</v>
      </c>
      <c r="M1083" s="30">
        <v>0</v>
      </c>
      <c r="N1083" s="30">
        <f>2715</f>
        <v>2715</v>
      </c>
      <c r="O1083" s="30">
        <f t="shared" si="18"/>
        <v>0</v>
      </c>
      <c r="P1083" s="43" t="s">
        <v>2874</v>
      </c>
    </row>
    <row r="1084" spans="2:16" s="54" customFormat="1" x14ac:dyDescent="0.35">
      <c r="B1084" s="35" t="s">
        <v>5087</v>
      </c>
      <c r="C1084" s="80" t="s">
        <v>5287</v>
      </c>
      <c r="D1084" s="36">
        <v>45140</v>
      </c>
      <c r="E1084" s="36">
        <v>45447</v>
      </c>
      <c r="F1084" s="36">
        <v>45534</v>
      </c>
      <c r="G1084" s="64" t="s">
        <v>6</v>
      </c>
      <c r="H1084" s="35" t="s">
        <v>5088</v>
      </c>
      <c r="I1084" s="35" t="s">
        <v>2642</v>
      </c>
      <c r="J1084" s="43" t="s">
        <v>5240</v>
      </c>
      <c r="K1084" s="43" t="s">
        <v>3181</v>
      </c>
      <c r="L1084" s="30">
        <v>60000</v>
      </c>
      <c r="M1084" s="30">
        <v>0</v>
      </c>
      <c r="N1084" s="30">
        <f>30600+15000</f>
        <v>45600</v>
      </c>
      <c r="O1084" s="30">
        <f t="shared" si="18"/>
        <v>14400</v>
      </c>
      <c r="P1084" s="43" t="s">
        <v>2874</v>
      </c>
    </row>
    <row r="1085" spans="2:16" s="54" customFormat="1" ht="29" x14ac:dyDescent="0.35">
      <c r="B1085" s="35" t="s">
        <v>4908</v>
      </c>
      <c r="C1085" s="80" t="s">
        <v>5289</v>
      </c>
      <c r="D1085" s="36">
        <v>45348</v>
      </c>
      <c r="E1085" s="36">
        <v>45447</v>
      </c>
      <c r="F1085" s="36">
        <v>47188</v>
      </c>
      <c r="G1085" s="64" t="s">
        <v>6</v>
      </c>
      <c r="H1085" s="35" t="s">
        <v>4909</v>
      </c>
      <c r="I1085" s="35" t="s">
        <v>2491</v>
      </c>
      <c r="J1085" s="43" t="s">
        <v>4948</v>
      </c>
      <c r="K1085" s="43" t="s">
        <v>2586</v>
      </c>
      <c r="L1085" s="30">
        <v>76508</v>
      </c>
      <c r="M1085" s="30">
        <v>0</v>
      </c>
      <c r="N1085" s="30">
        <v>0</v>
      </c>
      <c r="O1085" s="30">
        <f t="shared" si="18"/>
        <v>76508</v>
      </c>
      <c r="P1085" s="44">
        <v>6.76</v>
      </c>
    </row>
    <row r="1086" spans="2:16" s="54" customFormat="1" ht="29" x14ac:dyDescent="0.35">
      <c r="B1086" s="35" t="s">
        <v>5385</v>
      </c>
      <c r="C1086" s="80" t="s">
        <v>5384</v>
      </c>
      <c r="D1086" s="36">
        <v>45337</v>
      </c>
      <c r="E1086" s="36">
        <v>45447</v>
      </c>
      <c r="F1086" s="36">
        <v>47240</v>
      </c>
      <c r="G1086" s="64" t="s">
        <v>6</v>
      </c>
      <c r="H1086" s="35" t="s">
        <v>5383</v>
      </c>
      <c r="I1086" s="35" t="s">
        <v>2480</v>
      </c>
      <c r="J1086" s="43" t="s">
        <v>5414</v>
      </c>
      <c r="K1086" s="43" t="s">
        <v>2586</v>
      </c>
      <c r="L1086" s="30">
        <v>75000</v>
      </c>
      <c r="M1086" s="30">
        <v>0</v>
      </c>
      <c r="N1086" s="30">
        <v>0</v>
      </c>
      <c r="O1086" s="30">
        <f t="shared" si="18"/>
        <v>75000</v>
      </c>
      <c r="P1086" s="44">
        <v>12.91</v>
      </c>
    </row>
    <row r="1087" spans="2:16" s="54" customFormat="1" x14ac:dyDescent="0.35">
      <c r="B1087" s="35" t="s">
        <v>5320</v>
      </c>
      <c r="C1087" s="94" t="s">
        <v>5319</v>
      </c>
      <c r="D1087" s="36">
        <v>45342</v>
      </c>
      <c r="E1087" s="36">
        <v>45447</v>
      </c>
      <c r="F1087" s="36">
        <v>45811</v>
      </c>
      <c r="G1087" s="64" t="s">
        <v>6</v>
      </c>
      <c r="H1087" s="35" t="s">
        <v>815</v>
      </c>
      <c r="I1087" s="35" t="s">
        <v>2514</v>
      </c>
      <c r="J1087" s="43" t="s">
        <v>5415</v>
      </c>
      <c r="K1087" s="43" t="s">
        <v>2581</v>
      </c>
      <c r="L1087" s="30">
        <v>67880</v>
      </c>
      <c r="M1087" s="30">
        <v>0</v>
      </c>
      <c r="N1087" s="30">
        <v>67880</v>
      </c>
      <c r="O1087" s="30">
        <f t="shared" si="18"/>
        <v>0</v>
      </c>
      <c r="P1087" s="43" t="s">
        <v>2874</v>
      </c>
    </row>
    <row r="1088" spans="2:16" s="54" customFormat="1" ht="29" x14ac:dyDescent="0.35">
      <c r="B1088" s="35" t="s">
        <v>5590</v>
      </c>
      <c r="C1088" s="94" t="s">
        <v>5591</v>
      </c>
      <c r="D1088" s="36">
        <v>45473</v>
      </c>
      <c r="E1088" s="36">
        <v>45447</v>
      </c>
      <c r="F1088" s="36">
        <v>45811</v>
      </c>
      <c r="G1088" s="64" t="s">
        <v>6</v>
      </c>
      <c r="H1088" s="35" t="s">
        <v>815</v>
      </c>
      <c r="I1088" s="35" t="s">
        <v>2514</v>
      </c>
      <c r="J1088" s="43" t="s">
        <v>5857</v>
      </c>
      <c r="K1088" s="43" t="s">
        <v>2581</v>
      </c>
      <c r="L1088" s="30">
        <v>63234</v>
      </c>
      <c r="M1088" s="30">
        <v>0</v>
      </c>
      <c r="N1088" s="30">
        <f>63234</f>
        <v>63234</v>
      </c>
      <c r="O1088" s="30">
        <f t="shared" si="18"/>
        <v>0</v>
      </c>
      <c r="P1088" s="44" t="s">
        <v>2874</v>
      </c>
    </row>
    <row r="1089" spans="2:16" s="54" customFormat="1" ht="29" x14ac:dyDescent="0.35">
      <c r="B1089" s="35" t="s">
        <v>4111</v>
      </c>
      <c r="C1089" s="80" t="s">
        <v>5334</v>
      </c>
      <c r="D1089" s="36">
        <v>45140</v>
      </c>
      <c r="E1089" s="36">
        <v>45448</v>
      </c>
      <c r="F1089" s="36">
        <v>45812</v>
      </c>
      <c r="G1089" s="64" t="s">
        <v>6</v>
      </c>
      <c r="H1089" s="35" t="s">
        <v>5333</v>
      </c>
      <c r="I1089" s="35" t="s">
        <v>2503</v>
      </c>
      <c r="J1089" s="43" t="s">
        <v>5398</v>
      </c>
      <c r="K1089" s="43" t="s">
        <v>3555</v>
      </c>
      <c r="L1089" s="30">
        <v>5000</v>
      </c>
      <c r="M1089" s="30">
        <v>0</v>
      </c>
      <c r="N1089" s="30">
        <v>5000</v>
      </c>
      <c r="O1089" s="30">
        <f t="shared" si="18"/>
        <v>0</v>
      </c>
      <c r="P1089" s="43" t="s">
        <v>2874</v>
      </c>
    </row>
    <row r="1090" spans="2:16" s="54" customFormat="1" ht="29" x14ac:dyDescent="0.35">
      <c r="B1090" s="35" t="s">
        <v>4111</v>
      </c>
      <c r="C1090" s="80" t="s">
        <v>5326</v>
      </c>
      <c r="D1090" s="36">
        <v>45140</v>
      </c>
      <c r="E1090" s="36">
        <v>45448</v>
      </c>
      <c r="F1090" s="36">
        <v>45447</v>
      </c>
      <c r="G1090" s="64" t="s">
        <v>6</v>
      </c>
      <c r="H1090" s="35" t="s">
        <v>5325</v>
      </c>
      <c r="I1090" s="35" t="s">
        <v>3177</v>
      </c>
      <c r="J1090" s="43" t="s">
        <v>5402</v>
      </c>
      <c r="K1090" s="43" t="s">
        <v>3555</v>
      </c>
      <c r="L1090" s="30">
        <v>5000</v>
      </c>
      <c r="M1090" s="30">
        <v>0</v>
      </c>
      <c r="N1090" s="30">
        <f>5000</f>
        <v>5000</v>
      </c>
      <c r="O1090" s="30">
        <f t="shared" si="18"/>
        <v>0</v>
      </c>
      <c r="P1090" s="43" t="s">
        <v>2874</v>
      </c>
    </row>
    <row r="1091" spans="2:16" s="54" customFormat="1" x14ac:dyDescent="0.35">
      <c r="B1091" s="35" t="s">
        <v>5464</v>
      </c>
      <c r="C1091" s="80" t="s">
        <v>5465</v>
      </c>
      <c r="D1091" s="36">
        <v>45449</v>
      </c>
      <c r="E1091" s="36">
        <v>45448</v>
      </c>
      <c r="F1091" s="36">
        <v>47273</v>
      </c>
      <c r="G1091" s="64" t="s">
        <v>6</v>
      </c>
      <c r="H1091" s="35" t="s">
        <v>5466</v>
      </c>
      <c r="I1091" s="35" t="s">
        <v>2491</v>
      </c>
      <c r="J1091" s="43" t="s">
        <v>5423</v>
      </c>
      <c r="K1091" s="43" t="s">
        <v>2583</v>
      </c>
      <c r="L1091" s="30">
        <v>18750</v>
      </c>
      <c r="M1091" s="30">
        <v>0</v>
      </c>
      <c r="N1091" s="30">
        <v>0</v>
      </c>
      <c r="O1091" s="30">
        <f t="shared" si="18"/>
        <v>18750</v>
      </c>
      <c r="P1091" s="44">
        <v>1.33</v>
      </c>
    </row>
    <row r="1092" spans="2:16" s="54" customFormat="1" ht="29" x14ac:dyDescent="0.35">
      <c r="B1092" s="35" t="s">
        <v>4111</v>
      </c>
      <c r="C1092" s="80" t="s">
        <v>5332</v>
      </c>
      <c r="D1092" s="36">
        <v>45140</v>
      </c>
      <c r="E1092" s="36">
        <v>45449</v>
      </c>
      <c r="F1092" s="36">
        <v>45813</v>
      </c>
      <c r="G1092" s="64" t="s">
        <v>6</v>
      </c>
      <c r="H1092" s="35" t="s">
        <v>5331</v>
      </c>
      <c r="I1092" s="35" t="s">
        <v>2481</v>
      </c>
      <c r="J1092" s="43" t="s">
        <v>5399</v>
      </c>
      <c r="K1092" s="43" t="s">
        <v>3555</v>
      </c>
      <c r="L1092" s="30">
        <v>5000</v>
      </c>
      <c r="M1092" s="30">
        <v>0</v>
      </c>
      <c r="N1092" s="30">
        <v>5000</v>
      </c>
      <c r="O1092" s="30">
        <f t="shared" si="18"/>
        <v>0</v>
      </c>
      <c r="P1092" s="43" t="s">
        <v>2874</v>
      </c>
    </row>
    <row r="1093" spans="2:16" s="54" customFormat="1" ht="29" x14ac:dyDescent="0.35">
      <c r="B1093" s="35" t="s">
        <v>4111</v>
      </c>
      <c r="C1093" s="80" t="s">
        <v>5330</v>
      </c>
      <c r="D1093" s="36">
        <v>45140</v>
      </c>
      <c r="E1093" s="36">
        <v>45449</v>
      </c>
      <c r="F1093" s="36">
        <v>45813</v>
      </c>
      <c r="G1093" s="64" t="s">
        <v>6</v>
      </c>
      <c r="H1093" s="35" t="s">
        <v>5329</v>
      </c>
      <c r="I1093" s="35" t="s">
        <v>2506</v>
      </c>
      <c r="J1093" s="43" t="s">
        <v>5400</v>
      </c>
      <c r="K1093" s="43" t="s">
        <v>3555</v>
      </c>
      <c r="L1093" s="30">
        <v>5000</v>
      </c>
      <c r="M1093" s="30">
        <v>0</v>
      </c>
      <c r="N1093" s="30">
        <v>5000</v>
      </c>
      <c r="O1093" s="30">
        <f t="shared" si="18"/>
        <v>0</v>
      </c>
      <c r="P1093" s="43" t="s">
        <v>2874</v>
      </c>
    </row>
    <row r="1094" spans="2:16" s="54" customFormat="1" ht="29" x14ac:dyDescent="0.35">
      <c r="B1094" s="35" t="s">
        <v>4111</v>
      </c>
      <c r="C1094" s="80" t="s">
        <v>5328</v>
      </c>
      <c r="D1094" s="36">
        <v>45140</v>
      </c>
      <c r="E1094" s="36">
        <v>45449</v>
      </c>
      <c r="F1094" s="36">
        <v>45813</v>
      </c>
      <c r="G1094" s="64" t="s">
        <v>6</v>
      </c>
      <c r="H1094" s="35" t="s">
        <v>5327</v>
      </c>
      <c r="I1094" s="35" t="s">
        <v>2492</v>
      </c>
      <c r="J1094" s="43" t="s">
        <v>5401</v>
      </c>
      <c r="K1094" s="43" t="s">
        <v>3555</v>
      </c>
      <c r="L1094" s="30">
        <v>5000</v>
      </c>
      <c r="M1094" s="30">
        <v>0</v>
      </c>
      <c r="N1094" s="30">
        <f>5000</f>
        <v>5000</v>
      </c>
      <c r="O1094" s="30">
        <f t="shared" si="18"/>
        <v>0</v>
      </c>
      <c r="P1094" s="43" t="s">
        <v>2874</v>
      </c>
    </row>
    <row r="1095" spans="2:16" s="54" customFormat="1" ht="29" x14ac:dyDescent="0.35">
      <c r="B1095" s="35" t="s">
        <v>4111</v>
      </c>
      <c r="C1095" s="80" t="s">
        <v>5324</v>
      </c>
      <c r="D1095" s="36">
        <v>45140</v>
      </c>
      <c r="E1095" s="36">
        <v>45449</v>
      </c>
      <c r="F1095" s="36">
        <v>45448</v>
      </c>
      <c r="G1095" s="64" t="s">
        <v>6</v>
      </c>
      <c r="H1095" s="35" t="s">
        <v>5323</v>
      </c>
      <c r="I1095" s="35" t="s">
        <v>2505</v>
      </c>
      <c r="J1095" s="43" t="s">
        <v>5403</v>
      </c>
      <c r="K1095" s="43" t="s">
        <v>3555</v>
      </c>
      <c r="L1095" s="30">
        <v>4000</v>
      </c>
      <c r="M1095" s="30">
        <v>0</v>
      </c>
      <c r="N1095" s="30">
        <f>4000</f>
        <v>4000</v>
      </c>
      <c r="O1095" s="30">
        <f t="shared" si="18"/>
        <v>0</v>
      </c>
      <c r="P1095" s="43" t="s">
        <v>2874</v>
      </c>
    </row>
    <row r="1096" spans="2:16" s="54" customFormat="1" ht="29" x14ac:dyDescent="0.35">
      <c r="B1096" s="35" t="s">
        <v>4788</v>
      </c>
      <c r="C1096" s="80" t="s">
        <v>5322</v>
      </c>
      <c r="D1096" s="36">
        <v>45140</v>
      </c>
      <c r="E1096" s="36">
        <v>45449</v>
      </c>
      <c r="F1096" s="36">
        <v>45996</v>
      </c>
      <c r="G1096" s="64" t="s">
        <v>6</v>
      </c>
      <c r="H1096" s="35" t="s">
        <v>5321</v>
      </c>
      <c r="I1096" s="35" t="s">
        <v>3491</v>
      </c>
      <c r="J1096" s="43" t="s">
        <v>5408</v>
      </c>
      <c r="K1096" s="43" t="s">
        <v>4819</v>
      </c>
      <c r="L1096" s="30">
        <v>3000</v>
      </c>
      <c r="M1096" s="30">
        <v>0</v>
      </c>
      <c r="N1096" s="30">
        <v>0</v>
      </c>
      <c r="O1096" s="30">
        <f t="shared" si="18"/>
        <v>3000</v>
      </c>
      <c r="P1096" s="43" t="s">
        <v>2874</v>
      </c>
    </row>
    <row r="1097" spans="2:16" s="54" customFormat="1" x14ac:dyDescent="0.35">
      <c r="B1097" s="35" t="s">
        <v>5317</v>
      </c>
      <c r="C1097" s="80" t="s">
        <v>5316</v>
      </c>
      <c r="D1097" s="36">
        <v>45348</v>
      </c>
      <c r="E1097" s="36">
        <v>45449</v>
      </c>
      <c r="F1097" s="36">
        <v>47274</v>
      </c>
      <c r="G1097" s="64" t="s">
        <v>6</v>
      </c>
      <c r="H1097" s="35" t="s">
        <v>1297</v>
      </c>
      <c r="I1097" s="35" t="s">
        <v>2480</v>
      </c>
      <c r="J1097" s="43" t="s">
        <v>5418</v>
      </c>
      <c r="K1097" s="43" t="s">
        <v>2586</v>
      </c>
      <c r="L1097" s="30">
        <v>84600</v>
      </c>
      <c r="M1097" s="30">
        <v>0</v>
      </c>
      <c r="N1097" s="30">
        <v>0</v>
      </c>
      <c r="O1097" s="30">
        <f t="shared" si="18"/>
        <v>84600</v>
      </c>
      <c r="P1097" s="44">
        <v>4.41</v>
      </c>
    </row>
    <row r="1098" spans="2:16" s="54" customFormat="1" x14ac:dyDescent="0.35">
      <c r="B1098" s="35" t="s">
        <v>5467</v>
      </c>
      <c r="C1098" s="80" t="s">
        <v>5468</v>
      </c>
      <c r="D1098" s="36">
        <v>45449</v>
      </c>
      <c r="E1098" s="36">
        <v>45452</v>
      </c>
      <c r="F1098" s="36">
        <v>46546</v>
      </c>
      <c r="G1098" s="64" t="s">
        <v>6</v>
      </c>
      <c r="H1098" s="35" t="s">
        <v>5469</v>
      </c>
      <c r="I1098" s="35" t="s">
        <v>3177</v>
      </c>
      <c r="J1098" s="43" t="s">
        <v>4746</v>
      </c>
      <c r="K1098" s="43" t="s">
        <v>2583</v>
      </c>
      <c r="L1098" s="30">
        <v>12000</v>
      </c>
      <c r="M1098" s="30">
        <v>0</v>
      </c>
      <c r="N1098" s="30">
        <v>0</v>
      </c>
      <c r="O1098" s="30">
        <f t="shared" si="18"/>
        <v>12000</v>
      </c>
      <c r="P1098" s="44">
        <v>2.04</v>
      </c>
    </row>
    <row r="1099" spans="2:16" s="54" customFormat="1" x14ac:dyDescent="0.35">
      <c r="B1099" s="35" t="s">
        <v>5472</v>
      </c>
      <c r="C1099" s="80" t="s">
        <v>5473</v>
      </c>
      <c r="D1099" s="36">
        <v>45449</v>
      </c>
      <c r="E1099" s="36">
        <v>45452</v>
      </c>
      <c r="F1099" s="36">
        <v>47277</v>
      </c>
      <c r="G1099" s="64" t="s">
        <v>6</v>
      </c>
      <c r="H1099" s="35" t="s">
        <v>5469</v>
      </c>
      <c r="I1099" s="35" t="s">
        <v>3177</v>
      </c>
      <c r="J1099" s="43" t="s">
        <v>4746</v>
      </c>
      <c r="K1099" s="43" t="s">
        <v>2586</v>
      </c>
      <c r="L1099" s="30">
        <v>105890</v>
      </c>
      <c r="M1099" s="30">
        <v>0</v>
      </c>
      <c r="N1099" s="30">
        <v>0</v>
      </c>
      <c r="O1099" s="30">
        <f t="shared" si="18"/>
        <v>105890</v>
      </c>
      <c r="P1099" s="44">
        <v>2.04</v>
      </c>
    </row>
    <row r="1100" spans="2:16" s="54" customFormat="1" x14ac:dyDescent="0.35">
      <c r="B1100" s="35" t="s">
        <v>5470</v>
      </c>
      <c r="C1100" s="80" t="s">
        <v>5471</v>
      </c>
      <c r="D1100" s="36">
        <v>45449</v>
      </c>
      <c r="E1100" s="36">
        <v>45453</v>
      </c>
      <c r="F1100" s="36">
        <v>47278</v>
      </c>
      <c r="G1100" s="64" t="s">
        <v>6</v>
      </c>
      <c r="H1100" s="35" t="s">
        <v>5466</v>
      </c>
      <c r="I1100" s="35" t="s">
        <v>2491</v>
      </c>
      <c r="J1100" s="43" t="s">
        <v>5423</v>
      </c>
      <c r="K1100" s="43" t="s">
        <v>2586</v>
      </c>
      <c r="L1100" s="30">
        <v>100000</v>
      </c>
      <c r="M1100" s="30">
        <v>0</v>
      </c>
      <c r="N1100" s="30">
        <f>100000</f>
        <v>100000</v>
      </c>
      <c r="O1100" s="30">
        <f t="shared" si="18"/>
        <v>0</v>
      </c>
      <c r="P1100" s="44">
        <v>1.33</v>
      </c>
    </row>
    <row r="1101" spans="2:16" s="54" customFormat="1" x14ac:dyDescent="0.35">
      <c r="B1101" s="35" t="s">
        <v>5369</v>
      </c>
      <c r="C1101" s="80" t="s">
        <v>5368</v>
      </c>
      <c r="D1101" s="36">
        <v>45061</v>
      </c>
      <c r="E1101" s="36">
        <v>45454</v>
      </c>
      <c r="F1101" s="36">
        <v>47279</v>
      </c>
      <c r="G1101" s="64" t="s">
        <v>6</v>
      </c>
      <c r="H1101" s="35" t="s">
        <v>563</v>
      </c>
      <c r="I1101" s="35" t="s">
        <v>2480</v>
      </c>
      <c r="J1101" s="43" t="s">
        <v>5411</v>
      </c>
      <c r="K1101" s="43" t="s">
        <v>2583</v>
      </c>
      <c r="L1101" s="30">
        <v>3537500</v>
      </c>
      <c r="M1101" s="30">
        <v>0</v>
      </c>
      <c r="N1101" s="30">
        <v>0</v>
      </c>
      <c r="O1101" s="30">
        <f t="shared" si="18"/>
        <v>3537500</v>
      </c>
      <c r="P1101" s="44">
        <v>16.63</v>
      </c>
    </row>
    <row r="1102" spans="2:16" s="54" customFormat="1" x14ac:dyDescent="0.35">
      <c r="B1102" s="35" t="s">
        <v>5354</v>
      </c>
      <c r="C1102" s="80" t="s">
        <v>5353</v>
      </c>
      <c r="D1102" s="36">
        <v>45061</v>
      </c>
      <c r="E1102" s="36">
        <v>45454</v>
      </c>
      <c r="F1102" s="36">
        <v>47279</v>
      </c>
      <c r="G1102" s="64" t="s">
        <v>6</v>
      </c>
      <c r="H1102" s="35" t="s">
        <v>563</v>
      </c>
      <c r="I1102" s="35" t="s">
        <v>2480</v>
      </c>
      <c r="J1102" s="43" t="s">
        <v>5411</v>
      </c>
      <c r="K1102" s="43" t="s">
        <v>2586</v>
      </c>
      <c r="L1102" s="30">
        <v>550000</v>
      </c>
      <c r="M1102" s="30">
        <v>0</v>
      </c>
      <c r="N1102" s="30">
        <v>0</v>
      </c>
      <c r="O1102" s="30">
        <f t="shared" si="18"/>
        <v>550000</v>
      </c>
      <c r="P1102" s="44">
        <v>16.63</v>
      </c>
    </row>
    <row r="1103" spans="2:16" s="54" customFormat="1" ht="29" x14ac:dyDescent="0.35">
      <c r="B1103" s="35" t="s">
        <v>4111</v>
      </c>
      <c r="C1103" s="80" t="s">
        <v>5311</v>
      </c>
      <c r="D1103" s="36">
        <v>45140</v>
      </c>
      <c r="E1103" s="36">
        <v>45454</v>
      </c>
      <c r="F1103" s="36">
        <v>45818</v>
      </c>
      <c r="G1103" s="64" t="s">
        <v>6</v>
      </c>
      <c r="H1103" s="35" t="s">
        <v>5310</v>
      </c>
      <c r="I1103" s="35" t="s">
        <v>2507</v>
      </c>
      <c r="J1103" s="43" t="s">
        <v>5404</v>
      </c>
      <c r="K1103" s="43" t="s">
        <v>3555</v>
      </c>
      <c r="L1103" s="30">
        <v>9400</v>
      </c>
      <c r="M1103" s="30">
        <v>0</v>
      </c>
      <c r="N1103" s="30">
        <v>9400</v>
      </c>
      <c r="O1103" s="30">
        <f t="shared" si="18"/>
        <v>0</v>
      </c>
      <c r="P1103" s="43" t="s">
        <v>2874</v>
      </c>
    </row>
    <row r="1104" spans="2:16" s="54" customFormat="1" ht="29" x14ac:dyDescent="0.35">
      <c r="B1104" s="35" t="s">
        <v>5627</v>
      </c>
      <c r="C1104" s="80" t="s">
        <v>5318</v>
      </c>
      <c r="D1104" s="36">
        <v>45342</v>
      </c>
      <c r="E1104" s="36">
        <v>45455</v>
      </c>
      <c r="F1104" s="36">
        <v>45819</v>
      </c>
      <c r="G1104" s="64" t="s">
        <v>6</v>
      </c>
      <c r="H1104" s="35" t="s">
        <v>846</v>
      </c>
      <c r="I1104" s="35" t="s">
        <v>2492</v>
      </c>
      <c r="J1104" s="43" t="s">
        <v>5416</v>
      </c>
      <c r="K1104" s="43" t="s">
        <v>2581</v>
      </c>
      <c r="L1104" s="30">
        <v>10083</v>
      </c>
      <c r="M1104" s="30">
        <v>0</v>
      </c>
      <c r="N1104" s="30">
        <v>10083</v>
      </c>
      <c r="O1104" s="30">
        <f t="shared" si="18"/>
        <v>0</v>
      </c>
      <c r="P1104" s="43" t="s">
        <v>2874</v>
      </c>
    </row>
    <row r="1105" spans="2:16" s="54" customFormat="1" x14ac:dyDescent="0.35">
      <c r="B1105" s="35" t="s">
        <v>5474</v>
      </c>
      <c r="C1105" s="80" t="s">
        <v>5475</v>
      </c>
      <c r="D1105" s="36">
        <v>45338</v>
      </c>
      <c r="E1105" s="36">
        <v>45455</v>
      </c>
      <c r="F1105" s="36">
        <v>47280</v>
      </c>
      <c r="G1105" s="64" t="s">
        <v>6</v>
      </c>
      <c r="H1105" s="35" t="s">
        <v>5476</v>
      </c>
      <c r="I1105" s="35" t="s">
        <v>2480</v>
      </c>
      <c r="J1105" s="43" t="s">
        <v>5555</v>
      </c>
      <c r="K1105" s="43" t="s">
        <v>2586</v>
      </c>
      <c r="L1105" s="30">
        <v>172800</v>
      </c>
      <c r="M1105" s="30">
        <v>0</v>
      </c>
      <c r="N1105" s="30">
        <v>0</v>
      </c>
      <c r="O1105" s="30">
        <f t="shared" si="18"/>
        <v>172800</v>
      </c>
      <c r="P1105" s="44">
        <v>9.25</v>
      </c>
    </row>
    <row r="1106" spans="2:16" s="54" customFormat="1" x14ac:dyDescent="0.35">
      <c r="B1106" s="35" t="s">
        <v>5477</v>
      </c>
      <c r="C1106" s="80" t="s">
        <v>5478</v>
      </c>
      <c r="D1106" s="36">
        <v>45338</v>
      </c>
      <c r="E1106" s="36">
        <v>45455</v>
      </c>
      <c r="F1106" s="36">
        <v>46549</v>
      </c>
      <c r="G1106" s="64" t="s">
        <v>6</v>
      </c>
      <c r="H1106" s="35" t="s">
        <v>5476</v>
      </c>
      <c r="I1106" s="35" t="s">
        <v>2480</v>
      </c>
      <c r="J1106" s="43" t="s">
        <v>5555</v>
      </c>
      <c r="K1106" s="43" t="s">
        <v>2583</v>
      </c>
      <c r="L1106" s="30">
        <v>7500</v>
      </c>
      <c r="M1106" s="30">
        <v>0</v>
      </c>
      <c r="N1106" s="30">
        <v>0</v>
      </c>
      <c r="O1106" s="30">
        <f t="shared" si="18"/>
        <v>7500</v>
      </c>
      <c r="P1106" s="44">
        <v>9.25</v>
      </c>
    </row>
    <row r="1107" spans="2:16" s="54" customFormat="1" x14ac:dyDescent="0.35">
      <c r="B1107" s="35" t="s">
        <v>5315</v>
      </c>
      <c r="C1107" s="80" t="s">
        <v>5314</v>
      </c>
      <c r="D1107" s="36">
        <v>45348</v>
      </c>
      <c r="E1107" s="36">
        <v>45455</v>
      </c>
      <c r="F1107" s="36">
        <v>46549</v>
      </c>
      <c r="G1107" s="64" t="s">
        <v>6</v>
      </c>
      <c r="H1107" s="35" t="s">
        <v>1297</v>
      </c>
      <c r="I1107" s="35" t="s">
        <v>2480</v>
      </c>
      <c r="J1107" s="43" t="s">
        <v>5418</v>
      </c>
      <c r="K1107" s="43" t="s">
        <v>2583</v>
      </c>
      <c r="L1107" s="30">
        <v>4500</v>
      </c>
      <c r="M1107" s="30">
        <v>0</v>
      </c>
      <c r="N1107" s="30">
        <v>0</v>
      </c>
      <c r="O1107" s="30">
        <f t="shared" si="18"/>
        <v>4500</v>
      </c>
      <c r="P1107" s="44">
        <v>4.41</v>
      </c>
    </row>
    <row r="1108" spans="2:16" s="54" customFormat="1" x14ac:dyDescent="0.35">
      <c r="B1108" s="35" t="s">
        <v>5313</v>
      </c>
      <c r="C1108" s="80" t="s">
        <v>5312</v>
      </c>
      <c r="D1108" s="36">
        <v>45376</v>
      </c>
      <c r="E1108" s="36">
        <v>45455</v>
      </c>
      <c r="F1108" s="36">
        <v>46549</v>
      </c>
      <c r="G1108" s="64" t="s">
        <v>6</v>
      </c>
      <c r="H1108" s="35" t="s">
        <v>5169</v>
      </c>
      <c r="I1108" s="35" t="s">
        <v>3491</v>
      </c>
      <c r="J1108" s="43" t="s">
        <v>4746</v>
      </c>
      <c r="K1108" s="43" t="s">
        <v>2583</v>
      </c>
      <c r="L1108" s="30">
        <v>750</v>
      </c>
      <c r="M1108" s="30">
        <v>0</v>
      </c>
      <c r="N1108" s="30">
        <v>0</v>
      </c>
      <c r="O1108" s="30">
        <f t="shared" si="18"/>
        <v>750</v>
      </c>
      <c r="P1108" s="44">
        <v>1.25</v>
      </c>
    </row>
    <row r="1109" spans="2:16" s="54" customFormat="1" x14ac:dyDescent="0.35">
      <c r="B1109" s="35" t="s">
        <v>5309</v>
      </c>
      <c r="C1109" s="80" t="s">
        <v>5308</v>
      </c>
      <c r="D1109" s="36">
        <v>45348</v>
      </c>
      <c r="E1109" s="36">
        <v>45455</v>
      </c>
      <c r="F1109" s="36">
        <v>47280</v>
      </c>
      <c r="G1109" s="64" t="s">
        <v>6</v>
      </c>
      <c r="H1109" s="35" t="s">
        <v>5307</v>
      </c>
      <c r="I1109" s="35" t="s">
        <v>2480</v>
      </c>
      <c r="J1109" s="43" t="s">
        <v>4750</v>
      </c>
      <c r="K1109" s="43" t="s">
        <v>2586</v>
      </c>
      <c r="L1109" s="30">
        <v>9360</v>
      </c>
      <c r="M1109" s="30">
        <v>0</v>
      </c>
      <c r="N1109" s="30">
        <v>0</v>
      </c>
      <c r="O1109" s="30">
        <f t="shared" si="18"/>
        <v>9360</v>
      </c>
      <c r="P1109" s="44">
        <v>6.46</v>
      </c>
    </row>
    <row r="1110" spans="2:16" s="54" customFormat="1" ht="29" x14ac:dyDescent="0.35">
      <c r="B1110" s="35" t="s">
        <v>4111</v>
      </c>
      <c r="C1110" s="80" t="s">
        <v>5306</v>
      </c>
      <c r="D1110" s="36">
        <v>45140</v>
      </c>
      <c r="E1110" s="36">
        <v>45455</v>
      </c>
      <c r="F1110" s="36">
        <v>45819</v>
      </c>
      <c r="G1110" s="64" t="s">
        <v>6</v>
      </c>
      <c r="H1110" s="35" t="s">
        <v>5305</v>
      </c>
      <c r="I1110" s="35" t="s">
        <v>2484</v>
      </c>
      <c r="J1110" s="43" t="s">
        <v>5405</v>
      </c>
      <c r="K1110" s="43" t="s">
        <v>3555</v>
      </c>
      <c r="L1110" s="30">
        <v>5000</v>
      </c>
      <c r="M1110" s="30">
        <v>0</v>
      </c>
      <c r="N1110" s="30">
        <v>5000</v>
      </c>
      <c r="O1110" s="30">
        <f t="shared" si="18"/>
        <v>0</v>
      </c>
      <c r="P1110" s="43" t="s">
        <v>2874</v>
      </c>
    </row>
    <row r="1111" spans="2:16" s="54" customFormat="1" ht="29" x14ac:dyDescent="0.35">
      <c r="B1111" s="35" t="s">
        <v>5577</v>
      </c>
      <c r="C1111" s="80" t="s">
        <v>5578</v>
      </c>
      <c r="D1111" s="36">
        <v>45369</v>
      </c>
      <c r="E1111" s="36">
        <v>45457</v>
      </c>
      <c r="F1111" s="36">
        <v>45763</v>
      </c>
      <c r="G1111" s="64" t="s">
        <v>6</v>
      </c>
      <c r="H1111" s="35" t="s">
        <v>799</v>
      </c>
      <c r="I1111" s="35" t="s">
        <v>2490</v>
      </c>
      <c r="J1111" s="43" t="s">
        <v>5662</v>
      </c>
      <c r="K1111" s="43" t="s">
        <v>2581</v>
      </c>
      <c r="L1111" s="30">
        <v>7796</v>
      </c>
      <c r="M1111" s="30">
        <v>0</v>
      </c>
      <c r="N1111" s="30">
        <f>7796</f>
        <v>7796</v>
      </c>
      <c r="O1111" s="30">
        <f t="shared" si="18"/>
        <v>0</v>
      </c>
      <c r="P1111" s="44" t="s">
        <v>2874</v>
      </c>
    </row>
    <row r="1112" spans="2:16" s="54" customFormat="1" x14ac:dyDescent="0.35">
      <c r="B1112" s="35" t="s">
        <v>5452</v>
      </c>
      <c r="C1112" s="80" t="s">
        <v>5453</v>
      </c>
      <c r="D1112" s="36">
        <v>45369</v>
      </c>
      <c r="E1112" s="36">
        <v>45457</v>
      </c>
      <c r="F1112" s="36">
        <v>45784</v>
      </c>
      <c r="G1112" s="64" t="s">
        <v>6</v>
      </c>
      <c r="H1112" s="35" t="s">
        <v>2811</v>
      </c>
      <c r="I1112" s="35" t="s">
        <v>2485</v>
      </c>
      <c r="J1112" s="43" t="s">
        <v>5275</v>
      </c>
      <c r="K1112" s="43" t="s">
        <v>2581</v>
      </c>
      <c r="L1112" s="30">
        <v>15016</v>
      </c>
      <c r="M1112" s="30">
        <v>0</v>
      </c>
      <c r="N1112" s="30">
        <v>15016</v>
      </c>
      <c r="O1112" s="30">
        <f t="shared" si="18"/>
        <v>0</v>
      </c>
      <c r="P1112" s="44" t="s">
        <v>2874</v>
      </c>
    </row>
    <row r="1113" spans="2:16" s="54" customFormat="1" ht="29" x14ac:dyDescent="0.35">
      <c r="B1113" s="35" t="s">
        <v>4788</v>
      </c>
      <c r="C1113" s="80" t="s">
        <v>5304</v>
      </c>
      <c r="D1113" s="36">
        <v>45140</v>
      </c>
      <c r="E1113" s="36">
        <v>45457</v>
      </c>
      <c r="F1113" s="36">
        <v>46004</v>
      </c>
      <c r="G1113" s="64" t="s">
        <v>6</v>
      </c>
      <c r="H1113" s="35" t="s">
        <v>5303</v>
      </c>
      <c r="I1113" s="35" t="s">
        <v>2490</v>
      </c>
      <c r="J1113" s="43" t="s">
        <v>5409</v>
      </c>
      <c r="K1113" s="43" t="s">
        <v>4819</v>
      </c>
      <c r="L1113" s="30">
        <v>3000</v>
      </c>
      <c r="M1113" s="30">
        <v>0</v>
      </c>
      <c r="N1113" s="30">
        <v>0</v>
      </c>
      <c r="O1113" s="30">
        <f t="shared" si="18"/>
        <v>3000</v>
      </c>
      <c r="P1113" s="43" t="s">
        <v>2874</v>
      </c>
    </row>
    <row r="1114" spans="2:16" s="54" customFormat="1" x14ac:dyDescent="0.35">
      <c r="B1114" s="35" t="s">
        <v>5348</v>
      </c>
      <c r="C1114" s="80" t="s">
        <v>5347</v>
      </c>
      <c r="D1114" s="36">
        <v>45460</v>
      </c>
      <c r="E1114" s="36">
        <v>45460</v>
      </c>
      <c r="F1114" s="36">
        <v>45838</v>
      </c>
      <c r="G1114" s="64" t="s">
        <v>6</v>
      </c>
      <c r="H1114" s="35" t="s">
        <v>1916</v>
      </c>
      <c r="I1114" s="35" t="s">
        <v>2480</v>
      </c>
      <c r="J1114" s="43" t="s">
        <v>5412</v>
      </c>
      <c r="K1114" s="43" t="s">
        <v>5076</v>
      </c>
      <c r="L1114" s="30">
        <v>50000</v>
      </c>
      <c r="M1114" s="30">
        <v>0</v>
      </c>
      <c r="N1114" s="30">
        <v>0</v>
      </c>
      <c r="O1114" s="30">
        <f t="shared" ref="O1114:O1176" si="19">L1114-M1114-N1114</f>
        <v>50000</v>
      </c>
      <c r="P1114" s="44">
        <v>18.71</v>
      </c>
    </row>
    <row r="1115" spans="2:16" s="54" customFormat="1" x14ac:dyDescent="0.35">
      <c r="B1115" s="35" t="s">
        <v>5460</v>
      </c>
      <c r="C1115" s="80" t="s">
        <v>5461</v>
      </c>
      <c r="D1115" s="36">
        <v>45140</v>
      </c>
      <c r="E1115" s="36">
        <v>45460</v>
      </c>
      <c r="F1115" s="36">
        <v>47299</v>
      </c>
      <c r="G1115" s="64" t="s">
        <v>6</v>
      </c>
      <c r="H1115" s="35" t="s">
        <v>5462</v>
      </c>
      <c r="I1115" s="35" t="s">
        <v>2490</v>
      </c>
      <c r="J1115" s="43" t="s">
        <v>5546</v>
      </c>
      <c r="K1115" s="43" t="s">
        <v>2586</v>
      </c>
      <c r="L1115" s="30">
        <v>120000</v>
      </c>
      <c r="M1115" s="30">
        <v>0</v>
      </c>
      <c r="N1115" s="30">
        <v>0</v>
      </c>
      <c r="O1115" s="30">
        <f t="shared" si="19"/>
        <v>120000</v>
      </c>
      <c r="P1115" s="44">
        <v>0.53</v>
      </c>
    </row>
    <row r="1116" spans="2:16" s="54" customFormat="1" x14ac:dyDescent="0.35">
      <c r="B1116" s="35" t="s">
        <v>5479</v>
      </c>
      <c r="C1116" s="80" t="s">
        <v>5480</v>
      </c>
      <c r="D1116" s="36">
        <v>45140</v>
      </c>
      <c r="E1116" s="36">
        <v>45460</v>
      </c>
      <c r="F1116" s="36">
        <v>46554</v>
      </c>
      <c r="G1116" s="64" t="s">
        <v>6</v>
      </c>
      <c r="H1116" s="35" t="s">
        <v>5462</v>
      </c>
      <c r="I1116" s="35" t="s">
        <v>2490</v>
      </c>
      <c r="J1116" s="43" t="s">
        <v>5546</v>
      </c>
      <c r="K1116" s="43" t="s">
        <v>2583</v>
      </c>
      <c r="L1116" s="30">
        <v>10500</v>
      </c>
      <c r="M1116" s="30">
        <v>0</v>
      </c>
      <c r="N1116" s="30">
        <v>0</v>
      </c>
      <c r="O1116" s="30">
        <f t="shared" si="19"/>
        <v>10500</v>
      </c>
      <c r="P1116" s="44">
        <v>0.53</v>
      </c>
    </row>
    <row r="1117" spans="2:16" s="54" customFormat="1" x14ac:dyDescent="0.35">
      <c r="B1117" s="35" t="s">
        <v>5302</v>
      </c>
      <c r="C1117" s="80" t="s">
        <v>5301</v>
      </c>
      <c r="D1117" s="36">
        <v>45433</v>
      </c>
      <c r="E1117" s="36">
        <v>45460</v>
      </c>
      <c r="F1117" s="36">
        <v>48029</v>
      </c>
      <c r="G1117" s="64" t="s">
        <v>6</v>
      </c>
      <c r="H1117" s="35" t="s">
        <v>5298</v>
      </c>
      <c r="I1117" s="35" t="s">
        <v>2483</v>
      </c>
      <c r="J1117" s="43" t="s">
        <v>5418</v>
      </c>
      <c r="K1117" s="43" t="s">
        <v>2586</v>
      </c>
      <c r="L1117" s="30">
        <v>6408000</v>
      </c>
      <c r="M1117" s="30">
        <v>0</v>
      </c>
      <c r="N1117" s="30">
        <v>0</v>
      </c>
      <c r="O1117" s="30">
        <f t="shared" si="19"/>
        <v>6408000</v>
      </c>
      <c r="P1117" s="44">
        <v>13.93</v>
      </c>
    </row>
    <row r="1118" spans="2:16" s="54" customFormat="1" x14ac:dyDescent="0.35">
      <c r="B1118" s="35" t="s">
        <v>5300</v>
      </c>
      <c r="C1118" s="80" t="s">
        <v>5299</v>
      </c>
      <c r="D1118" s="36">
        <v>45440</v>
      </c>
      <c r="E1118" s="36">
        <v>45460</v>
      </c>
      <c r="F1118" s="36">
        <v>47483</v>
      </c>
      <c r="G1118" s="64" t="s">
        <v>6</v>
      </c>
      <c r="H1118" s="35" t="s">
        <v>5298</v>
      </c>
      <c r="I1118" s="35" t="s">
        <v>2483</v>
      </c>
      <c r="J1118" s="43" t="s">
        <v>5418</v>
      </c>
      <c r="K1118" s="43" t="s">
        <v>2583</v>
      </c>
      <c r="L1118" s="30">
        <v>6408000</v>
      </c>
      <c r="M1118" s="30">
        <v>0</v>
      </c>
      <c r="N1118" s="30">
        <v>0</v>
      </c>
      <c r="O1118" s="30">
        <f t="shared" si="19"/>
        <v>6408000</v>
      </c>
      <c r="P1118" s="44">
        <v>13.93</v>
      </c>
    </row>
    <row r="1119" spans="2:16" s="54" customFormat="1" x14ac:dyDescent="0.35">
      <c r="B1119" s="35" t="s">
        <v>5483</v>
      </c>
      <c r="C1119" s="80" t="s">
        <v>5484</v>
      </c>
      <c r="D1119" s="36">
        <v>45460</v>
      </c>
      <c r="E1119" s="36">
        <v>45460</v>
      </c>
      <c r="F1119" s="36">
        <v>47483</v>
      </c>
      <c r="G1119" s="64" t="s">
        <v>6</v>
      </c>
      <c r="H1119" s="35" t="s">
        <v>1916</v>
      </c>
      <c r="I1119" s="35" t="s">
        <v>2480</v>
      </c>
      <c r="J1119" s="43" t="s">
        <v>5412</v>
      </c>
      <c r="K1119" s="43" t="s">
        <v>2583</v>
      </c>
      <c r="L1119" s="30">
        <v>98000</v>
      </c>
      <c r="M1119" s="30">
        <v>0</v>
      </c>
      <c r="N1119" s="30">
        <v>0</v>
      </c>
      <c r="O1119" s="30">
        <f t="shared" si="19"/>
        <v>98000</v>
      </c>
      <c r="P1119" s="44">
        <v>18.71</v>
      </c>
    </row>
    <row r="1120" spans="2:16" s="54" customFormat="1" ht="29" x14ac:dyDescent="0.35">
      <c r="B1120" s="35" t="s">
        <v>4788</v>
      </c>
      <c r="C1120" s="80" t="s">
        <v>5296</v>
      </c>
      <c r="D1120" s="36">
        <v>45140</v>
      </c>
      <c r="E1120" s="36">
        <v>45461</v>
      </c>
      <c r="F1120" s="36">
        <v>46008</v>
      </c>
      <c r="G1120" s="64" t="s">
        <v>6</v>
      </c>
      <c r="H1120" s="35" t="s">
        <v>5295</v>
      </c>
      <c r="I1120" s="35" t="s">
        <v>2540</v>
      </c>
      <c r="J1120" s="43" t="s">
        <v>5410</v>
      </c>
      <c r="K1120" s="43" t="s">
        <v>4819</v>
      </c>
      <c r="L1120" s="30">
        <v>5000</v>
      </c>
      <c r="M1120" s="30">
        <v>0</v>
      </c>
      <c r="N1120" s="30">
        <v>0</v>
      </c>
      <c r="O1120" s="30">
        <f t="shared" si="19"/>
        <v>5000</v>
      </c>
      <c r="P1120" s="43" t="s">
        <v>2874</v>
      </c>
    </row>
    <row r="1121" spans="2:16" s="54" customFormat="1" x14ac:dyDescent="0.35">
      <c r="B1121" s="35" t="s">
        <v>4685</v>
      </c>
      <c r="C1121" s="80" t="s">
        <v>5288</v>
      </c>
      <c r="D1121" s="36">
        <v>45239</v>
      </c>
      <c r="E1121" s="36">
        <v>45464</v>
      </c>
      <c r="F1121" s="36">
        <v>45838</v>
      </c>
      <c r="G1121" s="64" t="s">
        <v>6</v>
      </c>
      <c r="H1121" s="35" t="s">
        <v>4868</v>
      </c>
      <c r="I1121" s="35" t="s">
        <v>2480</v>
      </c>
      <c r="J1121" s="43" t="s">
        <v>4708</v>
      </c>
      <c r="K1121" s="43" t="s">
        <v>3412</v>
      </c>
      <c r="L1121" s="30">
        <v>33000</v>
      </c>
      <c r="M1121" s="30">
        <v>0</v>
      </c>
      <c r="N1121" s="30">
        <f>18124.75+6536.32</f>
        <v>24661.07</v>
      </c>
      <c r="O1121" s="30">
        <f t="shared" si="19"/>
        <v>8338.93</v>
      </c>
      <c r="P1121" s="43" t="s">
        <v>2977</v>
      </c>
    </row>
    <row r="1122" spans="2:16" s="54" customFormat="1" x14ac:dyDescent="0.35">
      <c r="B1122" s="35" t="s">
        <v>5574</v>
      </c>
      <c r="C1122" s="80" t="s">
        <v>5575</v>
      </c>
      <c r="D1122" s="36">
        <v>45473</v>
      </c>
      <c r="E1122" s="36">
        <v>45464</v>
      </c>
      <c r="F1122" s="36">
        <v>45763</v>
      </c>
      <c r="G1122" s="64" t="s">
        <v>6</v>
      </c>
      <c r="H1122" s="35" t="s">
        <v>5576</v>
      </c>
      <c r="I1122" s="35" t="s">
        <v>2507</v>
      </c>
      <c r="J1122" s="43" t="s">
        <v>5661</v>
      </c>
      <c r="K1122" s="43" t="s">
        <v>2581</v>
      </c>
      <c r="L1122" s="30">
        <v>780</v>
      </c>
      <c r="M1122" s="30">
        <v>0</v>
      </c>
      <c r="N1122" s="30">
        <v>780</v>
      </c>
      <c r="O1122" s="30">
        <f t="shared" si="19"/>
        <v>0</v>
      </c>
      <c r="P1122" s="44" t="s">
        <v>2874</v>
      </c>
    </row>
    <row r="1123" spans="2:16" s="54" customFormat="1" x14ac:dyDescent="0.35">
      <c r="B1123" s="35" t="s">
        <v>5350</v>
      </c>
      <c r="C1123" s="80" t="s">
        <v>5349</v>
      </c>
      <c r="D1123" s="36">
        <v>45369</v>
      </c>
      <c r="E1123" s="36">
        <v>45464</v>
      </c>
      <c r="F1123" s="36">
        <v>45807</v>
      </c>
      <c r="G1123" s="64" t="s">
        <v>6</v>
      </c>
      <c r="H1123" s="35" t="s">
        <v>786</v>
      </c>
      <c r="I1123" s="35" t="s">
        <v>3491</v>
      </c>
      <c r="J1123" s="43" t="s">
        <v>5417</v>
      </c>
      <c r="K1123" s="43" t="s">
        <v>2581</v>
      </c>
      <c r="L1123" s="30">
        <v>6480</v>
      </c>
      <c r="M1123" s="30">
        <v>0</v>
      </c>
      <c r="N1123" s="30">
        <v>6480</v>
      </c>
      <c r="O1123" s="30">
        <f t="shared" si="19"/>
        <v>0</v>
      </c>
      <c r="P1123" s="43" t="s">
        <v>2874</v>
      </c>
    </row>
    <row r="1124" spans="2:16" s="54" customFormat="1" x14ac:dyDescent="0.35">
      <c r="B1124" s="35" t="s">
        <v>5584</v>
      </c>
      <c r="C1124" s="80" t="s">
        <v>5585</v>
      </c>
      <c r="D1124" s="36">
        <v>45473</v>
      </c>
      <c r="E1124" s="36">
        <v>45464</v>
      </c>
      <c r="F1124" s="36">
        <v>45807</v>
      </c>
      <c r="G1124" s="64" t="s">
        <v>6</v>
      </c>
      <c r="H1124" s="35" t="s">
        <v>786</v>
      </c>
      <c r="I1124" s="35" t="s">
        <v>3491</v>
      </c>
      <c r="J1124" s="43" t="s">
        <v>5663</v>
      </c>
      <c r="K1124" s="43" t="s">
        <v>2581</v>
      </c>
      <c r="L1124" s="30">
        <v>6026</v>
      </c>
      <c r="M1124" s="30">
        <v>0</v>
      </c>
      <c r="N1124" s="30">
        <v>6026</v>
      </c>
      <c r="O1124" s="30">
        <f t="shared" si="19"/>
        <v>0</v>
      </c>
      <c r="P1124" s="44" t="s">
        <v>2874</v>
      </c>
    </row>
    <row r="1125" spans="2:16" s="54" customFormat="1" ht="29" x14ac:dyDescent="0.35">
      <c r="B1125" s="35" t="s">
        <v>4111</v>
      </c>
      <c r="C1125" s="80" t="s">
        <v>5481</v>
      </c>
      <c r="D1125" s="36">
        <v>45140</v>
      </c>
      <c r="E1125" s="36">
        <v>45464</v>
      </c>
      <c r="F1125" s="36">
        <v>45828</v>
      </c>
      <c r="G1125" s="64" t="s">
        <v>6</v>
      </c>
      <c r="H1125" s="35" t="s">
        <v>5482</v>
      </c>
      <c r="I1125" s="35" t="s">
        <v>5537</v>
      </c>
      <c r="J1125" s="43" t="s">
        <v>5536</v>
      </c>
      <c r="K1125" s="43" t="s">
        <v>3555</v>
      </c>
      <c r="L1125" s="30">
        <v>1000</v>
      </c>
      <c r="M1125" s="30">
        <v>0</v>
      </c>
      <c r="N1125" s="30">
        <f>1000</f>
        <v>1000</v>
      </c>
      <c r="O1125" s="30">
        <f t="shared" si="19"/>
        <v>0</v>
      </c>
      <c r="P1125" s="44" t="s">
        <v>2874</v>
      </c>
    </row>
    <row r="1126" spans="2:16" s="54" customFormat="1" ht="29" x14ac:dyDescent="0.35">
      <c r="B1126" s="35" t="s">
        <v>4089</v>
      </c>
      <c r="C1126" s="80" t="s">
        <v>5294</v>
      </c>
      <c r="D1126" s="36">
        <v>45140</v>
      </c>
      <c r="E1126" s="36">
        <v>45464</v>
      </c>
      <c r="F1126" s="36">
        <v>45838</v>
      </c>
      <c r="G1126" s="64" t="s">
        <v>6</v>
      </c>
      <c r="H1126" s="35" t="s">
        <v>3592</v>
      </c>
      <c r="I1126" s="35" t="s">
        <v>2506</v>
      </c>
      <c r="J1126" s="43" t="s">
        <v>5394</v>
      </c>
      <c r="K1126" s="43" t="s">
        <v>2573</v>
      </c>
      <c r="L1126" s="30">
        <v>13282.8</v>
      </c>
      <c r="M1126" s="30">
        <v>0</v>
      </c>
      <c r="N1126" s="30">
        <v>0</v>
      </c>
      <c r="O1126" s="30">
        <f t="shared" si="19"/>
        <v>13282.8</v>
      </c>
      <c r="P1126" s="43" t="s">
        <v>2874</v>
      </c>
    </row>
    <row r="1127" spans="2:16" s="54" customFormat="1" ht="43.5" x14ac:dyDescent="0.35">
      <c r="B1127" s="35" t="s">
        <v>5293</v>
      </c>
      <c r="C1127" s="80" t="s">
        <v>5292</v>
      </c>
      <c r="D1127" s="36">
        <v>45140</v>
      </c>
      <c r="E1127" s="36">
        <v>45464</v>
      </c>
      <c r="F1127" s="36">
        <v>45808</v>
      </c>
      <c r="G1127" s="64" t="s">
        <v>6</v>
      </c>
      <c r="H1127" s="35" t="s">
        <v>1042</v>
      </c>
      <c r="I1127" s="35" t="s">
        <v>2499</v>
      </c>
      <c r="J1127" s="43" t="s">
        <v>5396</v>
      </c>
      <c r="K1127" s="43" t="s">
        <v>2573</v>
      </c>
      <c r="L1127" s="30">
        <v>7200</v>
      </c>
      <c r="M1127" s="30">
        <v>0</v>
      </c>
      <c r="N1127" s="30">
        <f>7200</f>
        <v>7200</v>
      </c>
      <c r="O1127" s="30">
        <f t="shared" si="19"/>
        <v>0</v>
      </c>
      <c r="P1127" s="43" t="s">
        <v>2874</v>
      </c>
    </row>
    <row r="1128" spans="2:16" s="54" customFormat="1" x14ac:dyDescent="0.35">
      <c r="B1128" s="35" t="s">
        <v>4089</v>
      </c>
      <c r="C1128" s="80" t="s">
        <v>5487</v>
      </c>
      <c r="D1128" s="36">
        <v>45140</v>
      </c>
      <c r="E1128" s="36">
        <v>45464</v>
      </c>
      <c r="F1128" s="36">
        <v>45838</v>
      </c>
      <c r="G1128" s="64" t="s">
        <v>6</v>
      </c>
      <c r="H1128" s="35" t="s">
        <v>980</v>
      </c>
      <c r="I1128" s="35" t="s">
        <v>2488</v>
      </c>
      <c r="J1128" s="43" t="s">
        <v>5529</v>
      </c>
      <c r="K1128" s="43" t="s">
        <v>2573</v>
      </c>
      <c r="L1128" s="30">
        <v>7500</v>
      </c>
      <c r="M1128" s="30">
        <v>0</v>
      </c>
      <c r="N1128" s="30">
        <f>7500</f>
        <v>7500</v>
      </c>
      <c r="O1128" s="30">
        <f t="shared" si="19"/>
        <v>0</v>
      </c>
      <c r="P1128" s="44" t="s">
        <v>2874</v>
      </c>
    </row>
    <row r="1129" spans="2:16" s="54" customFormat="1" x14ac:dyDescent="0.35">
      <c r="B1129" s="35" t="s">
        <v>5485</v>
      </c>
      <c r="C1129" s="80" t="s">
        <v>5486</v>
      </c>
      <c r="D1129" s="36">
        <v>45449</v>
      </c>
      <c r="E1129" s="36">
        <v>45467</v>
      </c>
      <c r="F1129" s="36">
        <v>45870</v>
      </c>
      <c r="G1129" s="64" t="s">
        <v>6</v>
      </c>
      <c r="H1129" s="35" t="s">
        <v>1083</v>
      </c>
      <c r="I1129" s="35" t="s">
        <v>2480</v>
      </c>
      <c r="J1129" s="43" t="s">
        <v>5412</v>
      </c>
      <c r="K1129" s="43" t="s">
        <v>5076</v>
      </c>
      <c r="L1129" s="30">
        <v>50000</v>
      </c>
      <c r="M1129" s="30">
        <v>0</v>
      </c>
      <c r="N1129" s="30">
        <f>30447.98</f>
        <v>30447.98</v>
      </c>
      <c r="O1129" s="30">
        <f t="shared" si="19"/>
        <v>19552.02</v>
      </c>
      <c r="P1129" s="44">
        <v>0.99</v>
      </c>
    </row>
    <row r="1130" spans="2:16" s="54" customFormat="1" x14ac:dyDescent="0.35">
      <c r="B1130" s="39" t="s">
        <v>2407</v>
      </c>
      <c r="C1130" s="101" t="s">
        <v>5426</v>
      </c>
      <c r="D1130" s="40">
        <v>44083</v>
      </c>
      <c r="E1130" s="40">
        <v>45468</v>
      </c>
      <c r="F1130" s="40">
        <v>45949</v>
      </c>
      <c r="G1130" s="63" t="s">
        <v>6</v>
      </c>
      <c r="H1130" s="38" t="s">
        <v>5427</v>
      </c>
      <c r="I1130" s="39" t="s">
        <v>3491</v>
      </c>
      <c r="J1130" s="38" t="s">
        <v>2549</v>
      </c>
      <c r="K1130" s="38" t="s">
        <v>2585</v>
      </c>
      <c r="L1130" s="31">
        <v>68177.78</v>
      </c>
      <c r="M1130" s="31">
        <v>0</v>
      </c>
      <c r="N1130" s="31">
        <f>62187.24</f>
        <v>62187.24</v>
      </c>
      <c r="O1130" s="30">
        <f t="shared" si="19"/>
        <v>5990.5400000000009</v>
      </c>
      <c r="P1130" s="26">
        <v>5.92</v>
      </c>
    </row>
    <row r="1131" spans="2:16" s="54" customFormat="1" x14ac:dyDescent="0.35">
      <c r="B1131" s="35" t="s">
        <v>5488</v>
      </c>
      <c r="C1131" s="80" t="s">
        <v>5489</v>
      </c>
      <c r="D1131" s="36">
        <v>45456</v>
      </c>
      <c r="E1131" s="36">
        <v>45468</v>
      </c>
      <c r="F1131" s="36">
        <v>47293</v>
      </c>
      <c r="G1131" s="64" t="s">
        <v>6</v>
      </c>
      <c r="H1131" s="35" t="s">
        <v>5490</v>
      </c>
      <c r="I1131" s="35" t="s">
        <v>2816</v>
      </c>
      <c r="J1131" s="43" t="s">
        <v>4746</v>
      </c>
      <c r="K1131" s="43" t="s">
        <v>2586</v>
      </c>
      <c r="L1131" s="30">
        <v>14400</v>
      </c>
      <c r="M1131" s="30">
        <v>0</v>
      </c>
      <c r="N1131" s="30">
        <v>0</v>
      </c>
      <c r="O1131" s="30">
        <f t="shared" si="19"/>
        <v>14400</v>
      </c>
      <c r="P1131" s="44">
        <v>13.98</v>
      </c>
    </row>
    <row r="1132" spans="2:16" s="54" customFormat="1" x14ac:dyDescent="0.35">
      <c r="B1132" s="35" t="s">
        <v>5491</v>
      </c>
      <c r="C1132" s="80" t="s">
        <v>5492</v>
      </c>
      <c r="D1132" s="36">
        <v>45456</v>
      </c>
      <c r="E1132" s="36">
        <v>45468</v>
      </c>
      <c r="F1132" s="36">
        <v>47293</v>
      </c>
      <c r="G1132" s="64" t="s">
        <v>6</v>
      </c>
      <c r="H1132" s="35" t="s">
        <v>5490</v>
      </c>
      <c r="I1132" s="35" t="s">
        <v>2816</v>
      </c>
      <c r="J1132" s="43" t="s">
        <v>4746</v>
      </c>
      <c r="K1132" s="43" t="s">
        <v>2583</v>
      </c>
      <c r="L1132" s="30">
        <v>10312.5</v>
      </c>
      <c r="M1132" s="30">
        <v>0</v>
      </c>
      <c r="N1132" s="30">
        <v>0</v>
      </c>
      <c r="O1132" s="30">
        <f t="shared" si="19"/>
        <v>10312.5</v>
      </c>
      <c r="P1132" s="44">
        <v>13.98</v>
      </c>
    </row>
    <row r="1133" spans="2:16" s="54" customFormat="1" ht="29" x14ac:dyDescent="0.35">
      <c r="B1133" s="35" t="s">
        <v>4111</v>
      </c>
      <c r="C1133" s="80" t="s">
        <v>5493</v>
      </c>
      <c r="D1133" s="36">
        <v>45140</v>
      </c>
      <c r="E1133" s="36">
        <v>45470</v>
      </c>
      <c r="F1133" s="36">
        <v>45834</v>
      </c>
      <c r="G1133" s="64" t="s">
        <v>6</v>
      </c>
      <c r="H1133" s="35" t="s">
        <v>5494</v>
      </c>
      <c r="I1133" s="35" t="s">
        <v>3133</v>
      </c>
      <c r="J1133" s="43" t="s">
        <v>5538</v>
      </c>
      <c r="K1133" s="43" t="s">
        <v>3555</v>
      </c>
      <c r="L1133" s="30">
        <v>15000</v>
      </c>
      <c r="M1133" s="30">
        <v>0</v>
      </c>
      <c r="N1133" s="30">
        <v>15000</v>
      </c>
      <c r="O1133" s="30">
        <f t="shared" si="19"/>
        <v>0</v>
      </c>
      <c r="P1133" s="44" t="s">
        <v>2874</v>
      </c>
    </row>
    <row r="1134" spans="2:16" s="54" customFormat="1" ht="29" x14ac:dyDescent="0.35">
      <c r="B1134" s="35" t="s">
        <v>4111</v>
      </c>
      <c r="C1134" s="80" t="s">
        <v>5495</v>
      </c>
      <c r="D1134" s="36">
        <v>45140</v>
      </c>
      <c r="E1134" s="36">
        <v>45470</v>
      </c>
      <c r="F1134" s="36">
        <v>45834</v>
      </c>
      <c r="G1134" s="64" t="s">
        <v>6</v>
      </c>
      <c r="H1134" s="35" t="s">
        <v>5496</v>
      </c>
      <c r="I1134" s="35" t="s">
        <v>2483</v>
      </c>
      <c r="J1134" s="43" t="s">
        <v>5539</v>
      </c>
      <c r="K1134" s="43" t="s">
        <v>3555</v>
      </c>
      <c r="L1134" s="30">
        <v>1000</v>
      </c>
      <c r="M1134" s="30">
        <v>0</v>
      </c>
      <c r="N1134" s="30">
        <v>1000</v>
      </c>
      <c r="O1134" s="30">
        <f t="shared" si="19"/>
        <v>0</v>
      </c>
      <c r="P1134" s="44" t="s">
        <v>2874</v>
      </c>
    </row>
    <row r="1135" spans="2:16" s="54" customFormat="1" x14ac:dyDescent="0.35">
      <c r="B1135" s="35" t="s">
        <v>5572</v>
      </c>
      <c r="C1135" s="80" t="s">
        <v>5573</v>
      </c>
      <c r="D1135" s="36">
        <v>45473</v>
      </c>
      <c r="E1135" s="36">
        <v>45471</v>
      </c>
      <c r="F1135" s="36">
        <v>45758</v>
      </c>
      <c r="G1135" s="64" t="s">
        <v>6</v>
      </c>
      <c r="H1135" s="35" t="s">
        <v>3193</v>
      </c>
      <c r="I1135" s="35" t="s">
        <v>2518</v>
      </c>
      <c r="J1135" s="43" t="s">
        <v>5072</v>
      </c>
      <c r="K1135" s="43" t="s">
        <v>2581</v>
      </c>
      <c r="L1135" s="30">
        <v>5021</v>
      </c>
      <c r="M1135" s="30">
        <v>0</v>
      </c>
      <c r="N1135" s="30">
        <f>5021</f>
        <v>5021</v>
      </c>
      <c r="O1135" s="30">
        <f t="shared" si="19"/>
        <v>0</v>
      </c>
      <c r="P1135" s="44" t="s">
        <v>2874</v>
      </c>
    </row>
    <row r="1136" spans="2:16" s="54" customFormat="1" x14ac:dyDescent="0.35">
      <c r="B1136" s="35" t="s">
        <v>5023</v>
      </c>
      <c r="C1136" s="80" t="s">
        <v>5497</v>
      </c>
      <c r="D1136" s="36">
        <v>45140</v>
      </c>
      <c r="E1136" s="36">
        <v>45471</v>
      </c>
      <c r="F1136" s="36">
        <v>46565</v>
      </c>
      <c r="G1136" s="64" t="s">
        <v>6</v>
      </c>
      <c r="H1136" s="35" t="s">
        <v>5498</v>
      </c>
      <c r="I1136" s="35" t="s">
        <v>2480</v>
      </c>
      <c r="J1136" s="43" t="s">
        <v>5530</v>
      </c>
      <c r="K1136" s="43" t="s">
        <v>3384</v>
      </c>
      <c r="L1136" s="30">
        <v>40000</v>
      </c>
      <c r="M1136" s="30">
        <v>0</v>
      </c>
      <c r="N1136" s="30">
        <f>20000+9400+10600</f>
        <v>40000</v>
      </c>
      <c r="O1136" s="30">
        <f t="shared" si="19"/>
        <v>0</v>
      </c>
      <c r="P1136" s="44" t="s">
        <v>2874</v>
      </c>
    </row>
    <row r="1137" spans="2:16" s="54" customFormat="1" x14ac:dyDescent="0.35">
      <c r="B1137" s="35" t="s">
        <v>5499</v>
      </c>
      <c r="C1137" s="80" t="s">
        <v>5500</v>
      </c>
      <c r="D1137" s="36">
        <v>45469</v>
      </c>
      <c r="E1137" s="36">
        <v>45471</v>
      </c>
      <c r="F1137" s="36">
        <v>47296</v>
      </c>
      <c r="G1137" s="64" t="s">
        <v>6</v>
      </c>
      <c r="H1137" s="35" t="s">
        <v>5501</v>
      </c>
      <c r="I1137" s="35" t="s">
        <v>2476</v>
      </c>
      <c r="J1137" s="43" t="s">
        <v>5556</v>
      </c>
      <c r="K1137" s="43" t="s">
        <v>2586</v>
      </c>
      <c r="L1137" s="30">
        <v>90000</v>
      </c>
      <c r="M1137" s="30">
        <v>0</v>
      </c>
      <c r="N1137" s="30">
        <v>0</v>
      </c>
      <c r="O1137" s="30">
        <f t="shared" si="19"/>
        <v>90000</v>
      </c>
      <c r="P1137" s="44">
        <v>5.68</v>
      </c>
    </row>
    <row r="1138" spans="2:16" s="54" customFormat="1" x14ac:dyDescent="0.35">
      <c r="B1138" s="35" t="s">
        <v>5502</v>
      </c>
      <c r="C1138" s="80" t="s">
        <v>5503</v>
      </c>
      <c r="D1138" s="36">
        <v>45469</v>
      </c>
      <c r="E1138" s="36">
        <v>45471</v>
      </c>
      <c r="F1138" s="36">
        <v>47296</v>
      </c>
      <c r="G1138" s="64" t="s">
        <v>6</v>
      </c>
      <c r="H1138" s="35" t="s">
        <v>5501</v>
      </c>
      <c r="I1138" s="35" t="s">
        <v>2476</v>
      </c>
      <c r="J1138" s="43" t="s">
        <v>5556</v>
      </c>
      <c r="K1138" s="43" t="s">
        <v>2583</v>
      </c>
      <c r="L1138" s="30">
        <v>10496</v>
      </c>
      <c r="M1138" s="30">
        <v>0</v>
      </c>
      <c r="N1138" s="30">
        <v>0</v>
      </c>
      <c r="O1138" s="30">
        <f t="shared" si="19"/>
        <v>10496</v>
      </c>
      <c r="P1138" s="44">
        <v>5.68</v>
      </c>
    </row>
    <row r="1139" spans="2:16" s="54" customFormat="1" x14ac:dyDescent="0.35">
      <c r="B1139" s="35" t="s">
        <v>5023</v>
      </c>
      <c r="C1139" s="80" t="s">
        <v>5504</v>
      </c>
      <c r="D1139" s="36">
        <v>45140</v>
      </c>
      <c r="E1139" s="36">
        <v>45471</v>
      </c>
      <c r="F1139" s="36">
        <v>46565</v>
      </c>
      <c r="G1139" s="64" t="s">
        <v>6</v>
      </c>
      <c r="H1139" s="35" t="s">
        <v>5505</v>
      </c>
      <c r="I1139" s="35" t="s">
        <v>2504</v>
      </c>
      <c r="J1139" s="43" t="s">
        <v>5531</v>
      </c>
      <c r="K1139" s="43" t="s">
        <v>3384</v>
      </c>
      <c r="L1139" s="30">
        <v>200000</v>
      </c>
      <c r="M1139" s="30">
        <v>0</v>
      </c>
      <c r="N1139" s="30">
        <f>100000</f>
        <v>100000</v>
      </c>
      <c r="O1139" s="30">
        <f t="shared" si="19"/>
        <v>100000</v>
      </c>
      <c r="P1139" s="44" t="s">
        <v>2874</v>
      </c>
    </row>
    <row r="1140" spans="2:16" s="54" customFormat="1" x14ac:dyDescent="0.35">
      <c r="B1140" s="35" t="s">
        <v>5023</v>
      </c>
      <c r="C1140" s="80" t="s">
        <v>5508</v>
      </c>
      <c r="D1140" s="36">
        <v>45140</v>
      </c>
      <c r="E1140" s="36">
        <v>45471</v>
      </c>
      <c r="F1140" s="36">
        <v>46565</v>
      </c>
      <c r="G1140" s="64" t="s">
        <v>6</v>
      </c>
      <c r="H1140" s="35" t="s">
        <v>5509</v>
      </c>
      <c r="I1140" s="35" t="s">
        <v>2492</v>
      </c>
      <c r="J1140" s="43" t="s">
        <v>5532</v>
      </c>
      <c r="K1140" s="43" t="s">
        <v>3384</v>
      </c>
      <c r="L1140" s="30">
        <v>40000</v>
      </c>
      <c r="M1140" s="30">
        <v>0</v>
      </c>
      <c r="N1140" s="30">
        <f>20000+5800</f>
        <v>25800</v>
      </c>
      <c r="O1140" s="30">
        <f t="shared" si="19"/>
        <v>14200</v>
      </c>
      <c r="P1140" s="44" t="s">
        <v>2874</v>
      </c>
    </row>
    <row r="1141" spans="2:16" s="54" customFormat="1" x14ac:dyDescent="0.35">
      <c r="B1141" s="35" t="s">
        <v>5510</v>
      </c>
      <c r="C1141" s="80" t="s">
        <v>5511</v>
      </c>
      <c r="D1141" s="36">
        <v>44972</v>
      </c>
      <c r="E1141" s="36">
        <v>45471</v>
      </c>
      <c r="F1141" s="36">
        <v>47296</v>
      </c>
      <c r="G1141" s="64" t="s">
        <v>6</v>
      </c>
      <c r="H1141" s="35" t="s">
        <v>5512</v>
      </c>
      <c r="I1141" s="35" t="s">
        <v>2480</v>
      </c>
      <c r="J1141" s="43" t="s">
        <v>5553</v>
      </c>
      <c r="K1141" s="43" t="s">
        <v>2586</v>
      </c>
      <c r="L1141" s="30">
        <v>60950</v>
      </c>
      <c r="M1141" s="30">
        <v>0</v>
      </c>
      <c r="N1141" s="30">
        <v>0</v>
      </c>
      <c r="O1141" s="30">
        <f t="shared" si="19"/>
        <v>60950</v>
      </c>
      <c r="P1141" s="44">
        <v>10.44</v>
      </c>
    </row>
    <row r="1142" spans="2:16" s="54" customFormat="1" ht="29" x14ac:dyDescent="0.35">
      <c r="B1142" s="35" t="s">
        <v>5023</v>
      </c>
      <c r="C1142" s="80" t="s">
        <v>5513</v>
      </c>
      <c r="D1142" s="36">
        <v>45140</v>
      </c>
      <c r="E1142" s="36">
        <v>45471</v>
      </c>
      <c r="F1142" s="36">
        <v>46565</v>
      </c>
      <c r="G1142" s="64" t="s">
        <v>6</v>
      </c>
      <c r="H1142" s="35" t="s">
        <v>5514</v>
      </c>
      <c r="I1142" s="35" t="s">
        <v>2490</v>
      </c>
      <c r="J1142" s="43" t="s">
        <v>5533</v>
      </c>
      <c r="K1142" s="43" t="s">
        <v>3384</v>
      </c>
      <c r="L1142" s="30">
        <v>100000</v>
      </c>
      <c r="M1142" s="30">
        <v>0</v>
      </c>
      <c r="N1142" s="30">
        <f>50000</f>
        <v>50000</v>
      </c>
      <c r="O1142" s="30">
        <f t="shared" si="19"/>
        <v>50000</v>
      </c>
      <c r="P1142" s="44" t="s">
        <v>2874</v>
      </c>
    </row>
    <row r="1143" spans="2:16" s="54" customFormat="1" ht="29" x14ac:dyDescent="0.35">
      <c r="B1143" s="35" t="s">
        <v>5023</v>
      </c>
      <c r="C1143" s="80" t="s">
        <v>5515</v>
      </c>
      <c r="D1143" s="36">
        <v>45140</v>
      </c>
      <c r="E1143" s="36">
        <v>45471</v>
      </c>
      <c r="F1143" s="36">
        <v>46568</v>
      </c>
      <c r="G1143" s="64" t="s">
        <v>6</v>
      </c>
      <c r="H1143" s="35" t="s">
        <v>5516</v>
      </c>
      <c r="I1143" s="35" t="s">
        <v>3011</v>
      </c>
      <c r="J1143" s="43" t="s">
        <v>5534</v>
      </c>
      <c r="K1143" s="43" t="s">
        <v>3384</v>
      </c>
      <c r="L1143" s="30">
        <v>200000</v>
      </c>
      <c r="M1143" s="30">
        <v>0</v>
      </c>
      <c r="N1143" s="30">
        <f>100000</f>
        <v>100000</v>
      </c>
      <c r="O1143" s="30">
        <f t="shared" si="19"/>
        <v>100000</v>
      </c>
      <c r="P1143" s="44" t="s">
        <v>2874</v>
      </c>
    </row>
    <row r="1144" spans="2:16" s="66" customFormat="1" ht="43.5" x14ac:dyDescent="0.35">
      <c r="B1144" s="35" t="s">
        <v>5023</v>
      </c>
      <c r="C1144" s="80" t="s">
        <v>5517</v>
      </c>
      <c r="D1144" s="36">
        <v>45140</v>
      </c>
      <c r="E1144" s="36">
        <v>45471</v>
      </c>
      <c r="F1144" s="36">
        <v>46568</v>
      </c>
      <c r="G1144" s="64" t="s">
        <v>6</v>
      </c>
      <c r="H1144" s="35" t="s">
        <v>5518</v>
      </c>
      <c r="I1144" s="35" t="s">
        <v>2484</v>
      </c>
      <c r="J1144" s="43" t="s">
        <v>5535</v>
      </c>
      <c r="K1144" s="43" t="s">
        <v>3384</v>
      </c>
      <c r="L1144" s="30">
        <v>100000</v>
      </c>
      <c r="M1144" s="30">
        <v>0</v>
      </c>
      <c r="N1144" s="30">
        <f>56384</f>
        <v>56384</v>
      </c>
      <c r="O1144" s="30">
        <f t="shared" si="19"/>
        <v>43616</v>
      </c>
      <c r="P1144" s="44" t="s">
        <v>2874</v>
      </c>
    </row>
    <row r="1145" spans="2:16" s="66" customFormat="1" x14ac:dyDescent="0.35">
      <c r="B1145" s="35" t="s">
        <v>5519</v>
      </c>
      <c r="C1145" s="80" t="s">
        <v>5520</v>
      </c>
      <c r="D1145" s="36">
        <v>44972</v>
      </c>
      <c r="E1145" s="36">
        <v>45471</v>
      </c>
      <c r="F1145" s="36">
        <v>47296</v>
      </c>
      <c r="G1145" s="64" t="s">
        <v>6</v>
      </c>
      <c r="H1145" s="35" t="s">
        <v>5512</v>
      </c>
      <c r="I1145" s="35" t="s">
        <v>2480</v>
      </c>
      <c r="J1145" s="43" t="s">
        <v>5553</v>
      </c>
      <c r="K1145" s="43" t="s">
        <v>2583</v>
      </c>
      <c r="L1145" s="30">
        <v>1250000</v>
      </c>
      <c r="M1145" s="30">
        <v>0</v>
      </c>
      <c r="N1145" s="30">
        <v>0</v>
      </c>
      <c r="O1145" s="30">
        <f t="shared" si="19"/>
        <v>1250000</v>
      </c>
      <c r="P1145" s="44">
        <v>10.44</v>
      </c>
    </row>
    <row r="1146" spans="2:16" s="66" customFormat="1" ht="29" x14ac:dyDescent="0.35">
      <c r="B1146" s="35" t="s">
        <v>4111</v>
      </c>
      <c r="C1146" s="80" t="s">
        <v>5506</v>
      </c>
      <c r="D1146" s="36">
        <v>45140</v>
      </c>
      <c r="E1146" s="36">
        <v>45472</v>
      </c>
      <c r="F1146" s="36">
        <v>45836</v>
      </c>
      <c r="G1146" s="64" t="s">
        <v>6</v>
      </c>
      <c r="H1146" s="35" t="s">
        <v>5507</v>
      </c>
      <c r="I1146" s="35" t="s">
        <v>2534</v>
      </c>
      <c r="J1146" s="43" t="s">
        <v>5540</v>
      </c>
      <c r="K1146" s="43" t="s">
        <v>3555</v>
      </c>
      <c r="L1146" s="30">
        <v>1000</v>
      </c>
      <c r="M1146" s="30">
        <v>0</v>
      </c>
      <c r="N1146" s="30">
        <f>1000</f>
        <v>1000</v>
      </c>
      <c r="O1146" s="30">
        <f t="shared" si="19"/>
        <v>0</v>
      </c>
      <c r="P1146" s="44" t="s">
        <v>2874</v>
      </c>
    </row>
    <row r="1147" spans="2:16" s="66" customFormat="1" x14ac:dyDescent="0.35">
      <c r="B1147" s="35" t="s">
        <v>5087</v>
      </c>
      <c r="C1147" s="80" t="s">
        <v>5448</v>
      </c>
      <c r="D1147" s="36">
        <v>45140</v>
      </c>
      <c r="E1147" s="36">
        <v>45473</v>
      </c>
      <c r="F1147" s="36">
        <v>45657</v>
      </c>
      <c r="G1147" s="64" t="s">
        <v>6</v>
      </c>
      <c r="H1147" s="35" t="s">
        <v>5449</v>
      </c>
      <c r="I1147" s="35" t="s">
        <v>2643</v>
      </c>
      <c r="J1147" s="43" t="s">
        <v>5545</v>
      </c>
      <c r="K1147" s="43" t="s">
        <v>3181</v>
      </c>
      <c r="L1147" s="30">
        <v>35000</v>
      </c>
      <c r="M1147" s="30">
        <v>0</v>
      </c>
      <c r="N1147" s="30">
        <f>35000</f>
        <v>35000</v>
      </c>
      <c r="O1147" s="30">
        <f t="shared" si="19"/>
        <v>0</v>
      </c>
      <c r="P1147" s="44" t="s">
        <v>2874</v>
      </c>
    </row>
    <row r="1148" spans="2:16" s="66" customFormat="1" ht="29" x14ac:dyDescent="0.35">
      <c r="B1148" s="35" t="s">
        <v>4111</v>
      </c>
      <c r="C1148" s="80" t="s">
        <v>5521</v>
      </c>
      <c r="D1148" s="36">
        <v>45140</v>
      </c>
      <c r="E1148" s="36">
        <v>45473</v>
      </c>
      <c r="F1148" s="36">
        <v>45837</v>
      </c>
      <c r="G1148" s="64" t="s">
        <v>6</v>
      </c>
      <c r="H1148" s="35" t="s">
        <v>5522</v>
      </c>
      <c r="I1148" s="35" t="s">
        <v>2480</v>
      </c>
      <c r="J1148" s="43" t="s">
        <v>5541</v>
      </c>
      <c r="K1148" s="43" t="s">
        <v>3555</v>
      </c>
      <c r="L1148" s="30">
        <v>1000</v>
      </c>
      <c r="M1148" s="30">
        <v>0</v>
      </c>
      <c r="N1148" s="30">
        <v>1000</v>
      </c>
      <c r="O1148" s="30">
        <f t="shared" si="19"/>
        <v>0</v>
      </c>
      <c r="P1148" s="44" t="s">
        <v>2874</v>
      </c>
    </row>
    <row r="1149" spans="2:16" s="66" customFormat="1" ht="29" x14ac:dyDescent="0.35">
      <c r="B1149" s="35" t="s">
        <v>4111</v>
      </c>
      <c r="C1149" s="80" t="s">
        <v>5291</v>
      </c>
      <c r="D1149" s="36">
        <v>45140</v>
      </c>
      <c r="E1149" s="36">
        <v>45473</v>
      </c>
      <c r="F1149" s="36">
        <v>45837</v>
      </c>
      <c r="G1149" s="64" t="s">
        <v>6</v>
      </c>
      <c r="H1149" s="35" t="s">
        <v>5290</v>
      </c>
      <c r="I1149" s="35" t="s">
        <v>2492</v>
      </c>
      <c r="J1149" s="43" t="s">
        <v>5406</v>
      </c>
      <c r="K1149" s="43" t="s">
        <v>3555</v>
      </c>
      <c r="L1149" s="30">
        <v>15000</v>
      </c>
      <c r="M1149" s="30">
        <v>0</v>
      </c>
      <c r="N1149" s="30">
        <v>15000</v>
      </c>
      <c r="O1149" s="30">
        <f t="shared" si="19"/>
        <v>0</v>
      </c>
      <c r="P1149" s="43" t="s">
        <v>2874</v>
      </c>
    </row>
    <row r="1150" spans="2:16" s="66" customFormat="1" ht="29" x14ac:dyDescent="0.35">
      <c r="B1150" s="35" t="s">
        <v>4111</v>
      </c>
      <c r="C1150" s="80" t="s">
        <v>5523</v>
      </c>
      <c r="D1150" s="36">
        <v>45140</v>
      </c>
      <c r="E1150" s="36">
        <v>45473</v>
      </c>
      <c r="F1150" s="36">
        <v>45837</v>
      </c>
      <c r="G1150" s="64" t="s">
        <v>6</v>
      </c>
      <c r="H1150" s="35" t="s">
        <v>5524</v>
      </c>
      <c r="I1150" s="35" t="s">
        <v>2480</v>
      </c>
      <c r="J1150" s="43" t="s">
        <v>5542</v>
      </c>
      <c r="K1150" s="43" t="s">
        <v>3555</v>
      </c>
      <c r="L1150" s="30">
        <v>1000</v>
      </c>
      <c r="M1150" s="30">
        <v>0</v>
      </c>
      <c r="N1150" s="30">
        <f>1000</f>
        <v>1000</v>
      </c>
      <c r="O1150" s="30">
        <f t="shared" si="19"/>
        <v>0</v>
      </c>
      <c r="P1150" s="44" t="s">
        <v>2874</v>
      </c>
    </row>
    <row r="1151" spans="2:16" s="66" customFormat="1" ht="29" x14ac:dyDescent="0.35">
      <c r="B1151" s="35" t="s">
        <v>4111</v>
      </c>
      <c r="C1151" s="80" t="s">
        <v>5525</v>
      </c>
      <c r="D1151" s="36">
        <v>45140</v>
      </c>
      <c r="E1151" s="36">
        <v>45473</v>
      </c>
      <c r="F1151" s="36">
        <v>45837</v>
      </c>
      <c r="G1151" s="64" t="s">
        <v>6</v>
      </c>
      <c r="H1151" s="35" t="s">
        <v>5526</v>
      </c>
      <c r="I1151" s="35" t="s">
        <v>2507</v>
      </c>
      <c r="J1151" s="43" t="s">
        <v>5397</v>
      </c>
      <c r="K1151" s="43" t="s">
        <v>3555</v>
      </c>
      <c r="L1151" s="30">
        <v>1000</v>
      </c>
      <c r="M1151" s="30">
        <v>0</v>
      </c>
      <c r="N1151" s="30">
        <v>1000</v>
      </c>
      <c r="O1151" s="30">
        <f t="shared" si="19"/>
        <v>0</v>
      </c>
      <c r="P1151" s="44" t="s">
        <v>2874</v>
      </c>
    </row>
    <row r="1152" spans="2:16" s="66" customFormat="1" ht="29" x14ac:dyDescent="0.35">
      <c r="B1152" s="35" t="s">
        <v>4111</v>
      </c>
      <c r="C1152" s="80" t="s">
        <v>5527</v>
      </c>
      <c r="D1152" s="36">
        <v>45140</v>
      </c>
      <c r="E1152" s="36">
        <v>45473</v>
      </c>
      <c r="F1152" s="36">
        <v>45837</v>
      </c>
      <c r="G1152" s="64" t="s">
        <v>6</v>
      </c>
      <c r="H1152" s="35" t="s">
        <v>5528</v>
      </c>
      <c r="I1152" s="35" t="s">
        <v>2534</v>
      </c>
      <c r="J1152" s="43" t="s">
        <v>5543</v>
      </c>
      <c r="K1152" s="43" t="s">
        <v>3555</v>
      </c>
      <c r="L1152" s="30">
        <v>1000</v>
      </c>
      <c r="M1152" s="30">
        <v>0</v>
      </c>
      <c r="N1152" s="30">
        <v>1000</v>
      </c>
      <c r="O1152" s="30">
        <f t="shared" si="19"/>
        <v>0</v>
      </c>
      <c r="P1152" s="44" t="s">
        <v>2874</v>
      </c>
    </row>
    <row r="1153" spans="2:16" s="66" customFormat="1" x14ac:dyDescent="0.35">
      <c r="B1153" s="35" t="s">
        <v>5594</v>
      </c>
      <c r="C1153" s="80" t="s">
        <v>5595</v>
      </c>
      <c r="D1153" s="36">
        <v>45474</v>
      </c>
      <c r="E1153" s="36">
        <v>45474</v>
      </c>
      <c r="F1153" s="36">
        <v>47299</v>
      </c>
      <c r="G1153" s="64" t="s">
        <v>6</v>
      </c>
      <c r="H1153" s="35" t="s">
        <v>5596</v>
      </c>
      <c r="I1153" s="35" t="s">
        <v>2526</v>
      </c>
      <c r="J1153" s="43" t="s">
        <v>5071</v>
      </c>
      <c r="K1153" s="43" t="s">
        <v>2583</v>
      </c>
      <c r="L1153" s="30">
        <v>826000</v>
      </c>
      <c r="M1153" s="30">
        <v>0</v>
      </c>
      <c r="N1153" s="30">
        <f>636300</f>
        <v>636300</v>
      </c>
      <c r="O1153" s="30">
        <f t="shared" si="19"/>
        <v>189700</v>
      </c>
      <c r="P1153" s="44">
        <v>11.03</v>
      </c>
    </row>
    <row r="1154" spans="2:16" s="66" customFormat="1" x14ac:dyDescent="0.35">
      <c r="B1154" s="35" t="s">
        <v>5597</v>
      </c>
      <c r="C1154" s="80" t="s">
        <v>5598</v>
      </c>
      <c r="D1154" s="36">
        <v>45474</v>
      </c>
      <c r="E1154" s="36">
        <v>45475</v>
      </c>
      <c r="F1154" s="36">
        <v>47300</v>
      </c>
      <c r="G1154" s="64" t="s">
        <v>6</v>
      </c>
      <c r="H1154" s="35" t="s">
        <v>5596</v>
      </c>
      <c r="I1154" s="35" t="s">
        <v>2526</v>
      </c>
      <c r="J1154" s="43" t="s">
        <v>5071</v>
      </c>
      <c r="K1154" s="43" t="s">
        <v>2586</v>
      </c>
      <c r="L1154" s="30">
        <v>13424000</v>
      </c>
      <c r="M1154" s="30">
        <v>0</v>
      </c>
      <c r="N1154" s="30">
        <v>0</v>
      </c>
      <c r="O1154" s="30">
        <f t="shared" si="19"/>
        <v>13424000</v>
      </c>
      <c r="P1154" s="44">
        <v>11.03</v>
      </c>
    </row>
    <row r="1155" spans="2:16" s="66" customFormat="1" ht="43.5" x14ac:dyDescent="0.35">
      <c r="B1155" s="35" t="s">
        <v>5599</v>
      </c>
      <c r="C1155" s="80" t="s">
        <v>5600</v>
      </c>
      <c r="D1155" s="36">
        <v>45474</v>
      </c>
      <c r="E1155" s="36">
        <v>45482</v>
      </c>
      <c r="F1155" s="36">
        <v>45838</v>
      </c>
      <c r="G1155" s="64" t="s">
        <v>6</v>
      </c>
      <c r="H1155" s="35" t="s">
        <v>5601</v>
      </c>
      <c r="I1155" s="35" t="s">
        <v>2490</v>
      </c>
      <c r="J1155" s="43" t="s">
        <v>5667</v>
      </c>
      <c r="K1155" s="43" t="s">
        <v>5558</v>
      </c>
      <c r="L1155" s="30">
        <v>40800</v>
      </c>
      <c r="M1155" s="30">
        <v>0</v>
      </c>
      <c r="N1155" s="30">
        <f>2600+2600+2600+2600+3020+1840+800+2120+2200+1700+743.33</f>
        <v>22823.33</v>
      </c>
      <c r="O1155" s="30">
        <f t="shared" si="19"/>
        <v>17976.669999999998</v>
      </c>
      <c r="P1155" s="44" t="s">
        <v>2977</v>
      </c>
    </row>
    <row r="1156" spans="2:16" s="66" customFormat="1" x14ac:dyDescent="0.35">
      <c r="B1156" s="35" t="s">
        <v>5602</v>
      </c>
      <c r="C1156" s="80" t="s">
        <v>5603</v>
      </c>
      <c r="D1156" s="36">
        <v>45337</v>
      </c>
      <c r="E1156" s="36">
        <v>45483</v>
      </c>
      <c r="F1156" s="36">
        <v>46577</v>
      </c>
      <c r="G1156" s="64" t="s">
        <v>6</v>
      </c>
      <c r="H1156" s="35" t="s">
        <v>647</v>
      </c>
      <c r="I1156" s="35" t="s">
        <v>2479</v>
      </c>
      <c r="J1156" s="43" t="s">
        <v>5668</v>
      </c>
      <c r="K1156" s="43" t="s">
        <v>2586</v>
      </c>
      <c r="L1156" s="30">
        <v>600000</v>
      </c>
      <c r="M1156" s="30">
        <v>0</v>
      </c>
      <c r="N1156" s="30">
        <v>0</v>
      </c>
      <c r="O1156" s="30">
        <f t="shared" si="19"/>
        <v>600000</v>
      </c>
      <c r="P1156" s="44">
        <v>4.04</v>
      </c>
    </row>
    <row r="1157" spans="2:16" s="66" customFormat="1" x14ac:dyDescent="0.35">
      <c r="B1157" s="35" t="s">
        <v>5677</v>
      </c>
      <c r="C1157" s="80" t="s">
        <v>5676</v>
      </c>
      <c r="D1157" s="36">
        <v>45483</v>
      </c>
      <c r="E1157" s="36">
        <v>45483</v>
      </c>
      <c r="F1157" s="36">
        <v>46577</v>
      </c>
      <c r="G1157" s="64" t="s">
        <v>6</v>
      </c>
      <c r="H1157" s="35" t="s">
        <v>647</v>
      </c>
      <c r="I1157" s="35" t="s">
        <v>2479</v>
      </c>
      <c r="J1157" s="43" t="s">
        <v>5668</v>
      </c>
      <c r="K1157" s="43" t="s">
        <v>2583</v>
      </c>
      <c r="L1157" s="30">
        <v>270000</v>
      </c>
      <c r="M1157" s="30">
        <v>0</v>
      </c>
      <c r="N1157" s="30">
        <v>0</v>
      </c>
      <c r="O1157" s="30">
        <f t="shared" si="19"/>
        <v>270000</v>
      </c>
      <c r="P1157" s="44">
        <v>4.04</v>
      </c>
    </row>
    <row r="1158" spans="2:16" s="66" customFormat="1" x14ac:dyDescent="0.35">
      <c r="B1158" s="35" t="s">
        <v>4378</v>
      </c>
      <c r="C1158" s="80" t="s">
        <v>5604</v>
      </c>
      <c r="D1158" s="36">
        <v>45177</v>
      </c>
      <c r="E1158" s="36">
        <v>45483</v>
      </c>
      <c r="F1158" s="36">
        <v>46577</v>
      </c>
      <c r="G1158" s="64" t="s">
        <v>6</v>
      </c>
      <c r="H1158" s="35" t="s">
        <v>647</v>
      </c>
      <c r="I1158" s="35" t="s">
        <v>2479</v>
      </c>
      <c r="J1158" s="43" t="s">
        <v>5668</v>
      </c>
      <c r="K1158" s="43" t="s">
        <v>2586</v>
      </c>
      <c r="L1158" s="30">
        <v>135500</v>
      </c>
      <c r="M1158" s="30">
        <v>0</v>
      </c>
      <c r="N1158" s="30">
        <v>0</v>
      </c>
      <c r="O1158" s="30">
        <f t="shared" si="19"/>
        <v>135500</v>
      </c>
      <c r="P1158" s="44">
        <v>4.04</v>
      </c>
    </row>
    <row r="1159" spans="2:16" s="66" customFormat="1" x14ac:dyDescent="0.35">
      <c r="B1159" s="35" t="s">
        <v>5605</v>
      </c>
      <c r="C1159" s="80" t="s">
        <v>5606</v>
      </c>
      <c r="D1159" s="36">
        <v>45337</v>
      </c>
      <c r="E1159" s="36">
        <v>45483</v>
      </c>
      <c r="F1159" s="36">
        <v>46577</v>
      </c>
      <c r="G1159" s="64" t="s">
        <v>6</v>
      </c>
      <c r="H1159" s="35" t="s">
        <v>647</v>
      </c>
      <c r="I1159" s="35" t="s">
        <v>2479</v>
      </c>
      <c r="J1159" s="43" t="s">
        <v>5668</v>
      </c>
      <c r="K1159" s="43" t="s">
        <v>2583</v>
      </c>
      <c r="L1159" s="30">
        <v>180000</v>
      </c>
      <c r="M1159" s="30">
        <v>0</v>
      </c>
      <c r="N1159" s="30">
        <v>0</v>
      </c>
      <c r="O1159" s="30">
        <f t="shared" si="19"/>
        <v>180000</v>
      </c>
      <c r="P1159" s="44">
        <v>4.04</v>
      </c>
    </row>
    <row r="1160" spans="2:16" s="66" customFormat="1" x14ac:dyDescent="0.35">
      <c r="B1160" s="35" t="s">
        <v>5607</v>
      </c>
      <c r="C1160" s="80" t="s">
        <v>5608</v>
      </c>
      <c r="D1160" s="36">
        <v>45434</v>
      </c>
      <c r="E1160" s="36">
        <v>45483</v>
      </c>
      <c r="F1160" s="36">
        <v>46577</v>
      </c>
      <c r="G1160" s="64" t="s">
        <v>6</v>
      </c>
      <c r="H1160" s="35" t="s">
        <v>647</v>
      </c>
      <c r="I1160" s="35" t="s">
        <v>2479</v>
      </c>
      <c r="J1160" s="43" t="s">
        <v>5668</v>
      </c>
      <c r="K1160" s="43" t="s">
        <v>2586</v>
      </c>
      <c r="L1160" s="30">
        <v>480000</v>
      </c>
      <c r="M1160" s="30">
        <v>0</v>
      </c>
      <c r="N1160" s="30">
        <v>0</v>
      </c>
      <c r="O1160" s="30">
        <f t="shared" si="19"/>
        <v>480000</v>
      </c>
      <c r="P1160" s="44">
        <v>4.04</v>
      </c>
    </row>
    <row r="1161" spans="2:16" s="66" customFormat="1" x14ac:dyDescent="0.35">
      <c r="B1161" s="35" t="s">
        <v>5609</v>
      </c>
      <c r="C1161" s="80" t="s">
        <v>5610</v>
      </c>
      <c r="D1161" s="36">
        <v>45376</v>
      </c>
      <c r="E1161" s="36">
        <v>45483</v>
      </c>
      <c r="F1161" s="36">
        <v>46577</v>
      </c>
      <c r="G1161" s="64" t="s">
        <v>6</v>
      </c>
      <c r="H1161" s="35" t="s">
        <v>647</v>
      </c>
      <c r="I1161" s="35" t="s">
        <v>2479</v>
      </c>
      <c r="J1161" s="43" t="s">
        <v>5668</v>
      </c>
      <c r="K1161" s="43" t="s">
        <v>2585</v>
      </c>
      <c r="L1161" s="30">
        <v>175000</v>
      </c>
      <c r="M1161" s="30">
        <v>0</v>
      </c>
      <c r="N1161" s="30">
        <v>0</v>
      </c>
      <c r="O1161" s="30">
        <f t="shared" si="19"/>
        <v>175000</v>
      </c>
      <c r="P1161" s="44">
        <v>4.04</v>
      </c>
    </row>
    <row r="1162" spans="2:16" s="66" customFormat="1" x14ac:dyDescent="0.35">
      <c r="B1162" s="35" t="s">
        <v>5611</v>
      </c>
      <c r="C1162" s="80" t="s">
        <v>5612</v>
      </c>
      <c r="D1162" s="36">
        <v>45482</v>
      </c>
      <c r="E1162" s="36">
        <v>45483</v>
      </c>
      <c r="F1162" s="36">
        <v>46031</v>
      </c>
      <c r="G1162" s="64" t="s">
        <v>6</v>
      </c>
      <c r="H1162" s="35" t="s">
        <v>5501</v>
      </c>
      <c r="I1162" s="35" t="s">
        <v>2476</v>
      </c>
      <c r="J1162" s="43" t="s">
        <v>5556</v>
      </c>
      <c r="K1162" s="43" t="s">
        <v>5076</v>
      </c>
      <c r="L1162" s="30">
        <v>41750</v>
      </c>
      <c r="M1162" s="30">
        <v>0</v>
      </c>
      <c r="N1162" s="30">
        <v>0</v>
      </c>
      <c r="O1162" s="30">
        <f t="shared" si="19"/>
        <v>41750</v>
      </c>
      <c r="P1162" s="44">
        <v>5.68</v>
      </c>
    </row>
    <row r="1163" spans="2:16" s="66" customFormat="1" x14ac:dyDescent="0.35">
      <c r="B1163" s="35" t="s">
        <v>5588</v>
      </c>
      <c r="C1163" s="80" t="s">
        <v>5589</v>
      </c>
      <c r="D1163" s="36">
        <v>45473</v>
      </c>
      <c r="E1163" s="36">
        <v>45485</v>
      </c>
      <c r="F1163" s="36">
        <v>45807</v>
      </c>
      <c r="G1163" s="64" t="s">
        <v>6</v>
      </c>
      <c r="H1163" s="35" t="s">
        <v>1414</v>
      </c>
      <c r="I1163" s="35" t="s">
        <v>2484</v>
      </c>
      <c r="J1163" s="43" t="s">
        <v>5665</v>
      </c>
      <c r="K1163" s="43" t="s">
        <v>2581</v>
      </c>
      <c r="L1163" s="30">
        <v>760</v>
      </c>
      <c r="M1163" s="30">
        <v>0</v>
      </c>
      <c r="N1163" s="30">
        <f>760</f>
        <v>760</v>
      </c>
      <c r="O1163" s="30">
        <f t="shared" si="19"/>
        <v>0</v>
      </c>
      <c r="P1163" s="44" t="s">
        <v>2874</v>
      </c>
    </row>
    <row r="1164" spans="2:16" s="66" customFormat="1" ht="29" x14ac:dyDescent="0.35">
      <c r="B1164" s="35" t="s">
        <v>5293</v>
      </c>
      <c r="C1164" s="80" t="s">
        <v>5561</v>
      </c>
      <c r="D1164" s="36">
        <v>45140</v>
      </c>
      <c r="E1164" s="36">
        <v>45485</v>
      </c>
      <c r="F1164" s="36">
        <v>45657</v>
      </c>
      <c r="G1164" s="64" t="s">
        <v>6</v>
      </c>
      <c r="H1164" s="35" t="s">
        <v>5297</v>
      </c>
      <c r="I1164" s="35" t="s">
        <v>2501</v>
      </c>
      <c r="J1164" s="43" t="s">
        <v>5395</v>
      </c>
      <c r="K1164" s="43" t="s">
        <v>2573</v>
      </c>
      <c r="L1164" s="30">
        <v>15101.43</v>
      </c>
      <c r="M1164" s="30">
        <v>0</v>
      </c>
      <c r="N1164" s="30">
        <f>15101.43</f>
        <v>15101.43</v>
      </c>
      <c r="O1164" s="30">
        <f t="shared" si="19"/>
        <v>0</v>
      </c>
      <c r="P1164" s="43" t="s">
        <v>2874</v>
      </c>
    </row>
    <row r="1165" spans="2:16" s="66" customFormat="1" x14ac:dyDescent="0.35">
      <c r="B1165" s="35" t="s">
        <v>5613</v>
      </c>
      <c r="C1165" s="80" t="s">
        <v>5614</v>
      </c>
      <c r="D1165" s="36">
        <v>45483</v>
      </c>
      <c r="E1165" s="36">
        <v>45489</v>
      </c>
      <c r="F1165" s="36">
        <v>47314</v>
      </c>
      <c r="G1165" s="64" t="s">
        <v>6</v>
      </c>
      <c r="H1165" s="35" t="s">
        <v>5615</v>
      </c>
      <c r="I1165" s="35" t="s">
        <v>2541</v>
      </c>
      <c r="J1165" s="43" t="s">
        <v>5071</v>
      </c>
      <c r="K1165" s="43" t="s">
        <v>2583</v>
      </c>
      <c r="L1165" s="30">
        <v>500000</v>
      </c>
      <c r="M1165" s="30">
        <v>0</v>
      </c>
      <c r="N1165" s="30">
        <v>0</v>
      </c>
      <c r="O1165" s="30">
        <f t="shared" si="19"/>
        <v>500000</v>
      </c>
      <c r="P1165" s="44">
        <v>3.42</v>
      </c>
    </row>
    <row r="1166" spans="2:16" s="66" customFormat="1" x14ac:dyDescent="0.35">
      <c r="B1166" s="35" t="s">
        <v>5616</v>
      </c>
      <c r="C1166" s="80" t="s">
        <v>5617</v>
      </c>
      <c r="D1166" s="36">
        <v>45483</v>
      </c>
      <c r="E1166" s="36">
        <v>45489</v>
      </c>
      <c r="F1166" s="36">
        <v>47314</v>
      </c>
      <c r="G1166" s="64" t="s">
        <v>6</v>
      </c>
      <c r="H1166" s="35" t="s">
        <v>5615</v>
      </c>
      <c r="I1166" s="35" t="s">
        <v>2541</v>
      </c>
      <c r="J1166" s="43" t="s">
        <v>5071</v>
      </c>
      <c r="K1166" s="43" t="s">
        <v>2586</v>
      </c>
      <c r="L1166" s="30">
        <v>6800000</v>
      </c>
      <c r="M1166" s="30">
        <v>0</v>
      </c>
      <c r="N1166" s="30">
        <v>0</v>
      </c>
      <c r="O1166" s="30">
        <f t="shared" si="19"/>
        <v>6800000</v>
      </c>
      <c r="P1166" s="44">
        <v>3.42</v>
      </c>
    </row>
    <row r="1167" spans="2:16" s="66" customFormat="1" x14ac:dyDescent="0.35">
      <c r="B1167" s="39" t="s">
        <v>2662</v>
      </c>
      <c r="C1167" s="101" t="s">
        <v>5560</v>
      </c>
      <c r="D1167" s="40">
        <v>44175</v>
      </c>
      <c r="E1167" s="40">
        <v>45494</v>
      </c>
      <c r="F1167" s="40">
        <v>46202</v>
      </c>
      <c r="G1167" s="63" t="s">
        <v>6</v>
      </c>
      <c r="H1167" s="38" t="s">
        <v>2630</v>
      </c>
      <c r="I1167" s="39" t="s">
        <v>2480</v>
      </c>
      <c r="J1167" s="38" t="s">
        <v>2699</v>
      </c>
      <c r="K1167" s="38" t="s">
        <v>2586</v>
      </c>
      <c r="L1167" s="31">
        <v>2000000</v>
      </c>
      <c r="M1167" s="31">
        <v>0</v>
      </c>
      <c r="N1167" s="31">
        <v>0</v>
      </c>
      <c r="O1167" s="30">
        <f t="shared" si="19"/>
        <v>2000000</v>
      </c>
      <c r="P1167" s="26">
        <v>0.83</v>
      </c>
    </row>
    <row r="1168" spans="2:16" s="66" customFormat="1" ht="29" x14ac:dyDescent="0.35">
      <c r="B1168" s="35" t="s">
        <v>5023</v>
      </c>
      <c r="C1168" s="80" t="s">
        <v>5618</v>
      </c>
      <c r="D1168" s="36">
        <v>45140</v>
      </c>
      <c r="E1168" s="36">
        <v>45495</v>
      </c>
      <c r="F1168" s="36">
        <v>46568</v>
      </c>
      <c r="G1168" s="64" t="s">
        <v>6</v>
      </c>
      <c r="H1168" s="35" t="s">
        <v>5619</v>
      </c>
      <c r="I1168" s="35" t="s">
        <v>2480</v>
      </c>
      <c r="J1168" s="43" t="s">
        <v>5660</v>
      </c>
      <c r="K1168" s="43" t="s">
        <v>3384</v>
      </c>
      <c r="L1168" s="30">
        <v>40000</v>
      </c>
      <c r="M1168" s="30">
        <v>0</v>
      </c>
      <c r="N1168" s="30">
        <f>40000</f>
        <v>40000</v>
      </c>
      <c r="O1168" s="30">
        <f t="shared" si="19"/>
        <v>0</v>
      </c>
      <c r="P1168" s="44" t="s">
        <v>2874</v>
      </c>
    </row>
    <row r="1169" spans="2:16" s="66" customFormat="1" ht="43.5" x14ac:dyDescent="0.35">
      <c r="B1169" s="35" t="s">
        <v>5620</v>
      </c>
      <c r="C1169" s="80" t="s">
        <v>5621</v>
      </c>
      <c r="D1169" s="36">
        <v>45474</v>
      </c>
      <c r="E1169" s="36">
        <v>45502</v>
      </c>
      <c r="F1169" s="36">
        <v>45838</v>
      </c>
      <c r="G1169" s="64" t="s">
        <v>6</v>
      </c>
      <c r="H1169" s="35" t="s">
        <v>6073</v>
      </c>
      <c r="I1169" s="35" t="s">
        <v>2480</v>
      </c>
      <c r="J1169" s="43" t="s">
        <v>5669</v>
      </c>
      <c r="K1169" s="43" t="s">
        <v>5558</v>
      </c>
      <c r="L1169" s="30">
        <v>53900</v>
      </c>
      <c r="M1169" s="30">
        <v>0</v>
      </c>
      <c r="N1169" s="30">
        <f>4917.5+4130+7621.25+2677.5+3290+3360+1968.75+2310</f>
        <v>30275</v>
      </c>
      <c r="O1169" s="30">
        <f t="shared" si="19"/>
        <v>23625</v>
      </c>
      <c r="P1169" s="44" t="s">
        <v>2977</v>
      </c>
    </row>
    <row r="1170" spans="2:16" s="66" customFormat="1" x14ac:dyDescent="0.35">
      <c r="B1170" s="35" t="s">
        <v>5625</v>
      </c>
      <c r="C1170" s="80" t="s">
        <v>5626</v>
      </c>
      <c r="D1170" s="36">
        <v>45481</v>
      </c>
      <c r="E1170" s="36">
        <v>45502</v>
      </c>
      <c r="F1170" s="36">
        <v>47329</v>
      </c>
      <c r="G1170" s="64" t="s">
        <v>6</v>
      </c>
      <c r="H1170" s="35" t="s">
        <v>1849</v>
      </c>
      <c r="I1170" s="35" t="s">
        <v>3491</v>
      </c>
      <c r="J1170" s="43" t="s">
        <v>5412</v>
      </c>
      <c r="K1170" s="43" t="s">
        <v>2586</v>
      </c>
      <c r="L1170" s="30">
        <v>172500</v>
      </c>
      <c r="M1170" s="30">
        <v>0</v>
      </c>
      <c r="N1170" s="30">
        <v>0</v>
      </c>
      <c r="O1170" s="30">
        <f t="shared" si="19"/>
        <v>172500</v>
      </c>
      <c r="P1170" s="44">
        <v>8.75</v>
      </c>
    </row>
    <row r="1171" spans="2:16" s="66" customFormat="1" x14ac:dyDescent="0.35">
      <c r="B1171" s="35" t="s">
        <v>5622</v>
      </c>
      <c r="C1171" s="80" t="s">
        <v>5623</v>
      </c>
      <c r="D1171" s="36">
        <v>45474</v>
      </c>
      <c r="E1171" s="36">
        <v>45504</v>
      </c>
      <c r="F1171" s="36">
        <v>45838</v>
      </c>
      <c r="G1171" s="64" t="s">
        <v>6</v>
      </c>
      <c r="H1171" s="35" t="s">
        <v>5624</v>
      </c>
      <c r="I1171" s="35" t="s">
        <v>2480</v>
      </c>
      <c r="J1171" s="43" t="s">
        <v>5670</v>
      </c>
      <c r="K1171" s="43" t="s">
        <v>5558</v>
      </c>
      <c r="L1171" s="30">
        <v>93600</v>
      </c>
      <c r="M1171" s="30">
        <f>6467.5</f>
        <v>6467.5</v>
      </c>
      <c r="N1171" s="30">
        <f>7800+7800+7800+6955+7800+6500+7540+5023.85+5081.7</f>
        <v>62300.549999999996</v>
      </c>
      <c r="O1171" s="30">
        <f t="shared" si="19"/>
        <v>24831.950000000004</v>
      </c>
      <c r="P1171" s="44" t="s">
        <v>2977</v>
      </c>
    </row>
    <row r="1172" spans="2:16" s="66" customFormat="1" x14ac:dyDescent="0.35">
      <c r="B1172" s="35" t="s">
        <v>5635</v>
      </c>
      <c r="C1172" s="80" t="s">
        <v>5636</v>
      </c>
      <c r="D1172" s="36">
        <v>45507</v>
      </c>
      <c r="E1172" s="36">
        <v>45510</v>
      </c>
      <c r="F1172" s="36">
        <v>45838</v>
      </c>
      <c r="G1172" s="64" t="s">
        <v>6</v>
      </c>
      <c r="H1172" s="35" t="s">
        <v>1287</v>
      </c>
      <c r="I1172" s="35" t="s">
        <v>2484</v>
      </c>
      <c r="J1172" s="43" t="s">
        <v>4749</v>
      </c>
      <c r="K1172" s="43" t="s">
        <v>5076</v>
      </c>
      <c r="L1172" s="30">
        <v>50000</v>
      </c>
      <c r="M1172" s="30">
        <v>0</v>
      </c>
      <c r="N1172" s="30">
        <v>0</v>
      </c>
      <c r="O1172" s="30">
        <f t="shared" si="19"/>
        <v>50000</v>
      </c>
      <c r="P1172" s="44">
        <v>30.38</v>
      </c>
    </row>
    <row r="1173" spans="2:16" s="66" customFormat="1" x14ac:dyDescent="0.35">
      <c r="B1173" s="35" t="s">
        <v>5637</v>
      </c>
      <c r="C1173" s="80" t="s">
        <v>5638</v>
      </c>
      <c r="D1173" s="36">
        <v>45507</v>
      </c>
      <c r="E1173" s="36">
        <v>45510</v>
      </c>
      <c r="F1173" s="36">
        <v>46606</v>
      </c>
      <c r="G1173" s="64" t="s">
        <v>6</v>
      </c>
      <c r="H1173" s="35" t="s">
        <v>1373</v>
      </c>
      <c r="I1173" s="35" t="s">
        <v>2492</v>
      </c>
      <c r="J1173" s="43" t="s">
        <v>5555</v>
      </c>
      <c r="K1173" s="43" t="s">
        <v>2583</v>
      </c>
      <c r="L1173" s="30">
        <v>6000</v>
      </c>
      <c r="M1173" s="30">
        <v>0</v>
      </c>
      <c r="N1173" s="30">
        <v>0</v>
      </c>
      <c r="O1173" s="30">
        <f t="shared" si="19"/>
        <v>6000</v>
      </c>
      <c r="P1173" s="44">
        <v>2.34</v>
      </c>
    </row>
    <row r="1174" spans="2:16" s="66" customFormat="1" x14ac:dyDescent="0.35">
      <c r="B1174" s="35" t="s">
        <v>5639</v>
      </c>
      <c r="C1174" s="80" t="s">
        <v>5640</v>
      </c>
      <c r="D1174" s="36">
        <v>45507</v>
      </c>
      <c r="E1174" s="36">
        <v>45510</v>
      </c>
      <c r="F1174" s="36">
        <v>46604</v>
      </c>
      <c r="G1174" s="64" t="s">
        <v>6</v>
      </c>
      <c r="H1174" s="35" t="s">
        <v>1373</v>
      </c>
      <c r="I1174" s="35" t="s">
        <v>2492</v>
      </c>
      <c r="J1174" s="43" t="s">
        <v>5555</v>
      </c>
      <c r="K1174" s="43" t="s">
        <v>2585</v>
      </c>
      <c r="L1174" s="30">
        <v>50000</v>
      </c>
      <c r="M1174" s="30">
        <v>0</v>
      </c>
      <c r="N1174" s="30">
        <v>0</v>
      </c>
      <c r="O1174" s="30">
        <f t="shared" si="19"/>
        <v>50000</v>
      </c>
      <c r="P1174" s="44">
        <v>2.34</v>
      </c>
    </row>
    <row r="1175" spans="2:16" s="66" customFormat="1" x14ac:dyDescent="0.35">
      <c r="B1175" s="35" t="s">
        <v>5641</v>
      </c>
      <c r="C1175" s="80" t="s">
        <v>5642</v>
      </c>
      <c r="D1175" s="36">
        <v>45507</v>
      </c>
      <c r="E1175" s="36">
        <v>45510</v>
      </c>
      <c r="F1175" s="36">
        <v>47335</v>
      </c>
      <c r="G1175" s="64" t="s">
        <v>6</v>
      </c>
      <c r="H1175" s="35" t="s">
        <v>1373</v>
      </c>
      <c r="I1175" s="35" t="s">
        <v>2492</v>
      </c>
      <c r="J1175" s="43" t="s">
        <v>5555</v>
      </c>
      <c r="K1175" s="43" t="s">
        <v>2586</v>
      </c>
      <c r="L1175" s="30">
        <v>150000</v>
      </c>
      <c r="M1175" s="30">
        <v>0</v>
      </c>
      <c r="N1175" s="30">
        <f>10500</f>
        <v>10500</v>
      </c>
      <c r="O1175" s="30">
        <f t="shared" si="19"/>
        <v>139500</v>
      </c>
      <c r="P1175" s="44">
        <v>2.34</v>
      </c>
    </row>
    <row r="1176" spans="2:16" s="66" customFormat="1" x14ac:dyDescent="0.35">
      <c r="B1176" s="39" t="s">
        <v>3216</v>
      </c>
      <c r="C1176" s="80" t="s">
        <v>5630</v>
      </c>
      <c r="D1176" s="40">
        <v>45511</v>
      </c>
      <c r="E1176" s="36">
        <v>45511</v>
      </c>
      <c r="F1176" s="36">
        <v>46747</v>
      </c>
      <c r="G1176" s="64" t="s">
        <v>6</v>
      </c>
      <c r="H1176" s="38" t="s">
        <v>3223</v>
      </c>
      <c r="I1176" s="35" t="s">
        <v>2518</v>
      </c>
      <c r="J1176" s="38" t="s">
        <v>4579</v>
      </c>
      <c r="K1176" s="38" t="s">
        <v>2586</v>
      </c>
      <c r="L1176" s="49">
        <v>46726</v>
      </c>
      <c r="M1176" s="49">
        <v>0</v>
      </c>
      <c r="N1176" s="49">
        <v>0</v>
      </c>
      <c r="O1176" s="30">
        <f t="shared" si="19"/>
        <v>46726</v>
      </c>
      <c r="P1176" s="44">
        <v>1.1299999999999999</v>
      </c>
    </row>
    <row r="1177" spans="2:16" s="66" customFormat="1" x14ac:dyDescent="0.35">
      <c r="B1177" s="35" t="s">
        <v>5643</v>
      </c>
      <c r="C1177" s="80" t="s">
        <v>5644</v>
      </c>
      <c r="D1177" s="36">
        <v>45513</v>
      </c>
      <c r="E1177" s="36">
        <v>45516</v>
      </c>
      <c r="F1177" s="36">
        <v>47341</v>
      </c>
      <c r="G1177" s="64" t="s">
        <v>6</v>
      </c>
      <c r="H1177" s="35" t="s">
        <v>5645</v>
      </c>
      <c r="I1177" s="35" t="s">
        <v>2531</v>
      </c>
      <c r="J1177" s="43" t="s">
        <v>5673</v>
      </c>
      <c r="K1177" s="43" t="s">
        <v>2586</v>
      </c>
      <c r="L1177" s="30">
        <v>300000</v>
      </c>
      <c r="M1177" s="30">
        <v>0</v>
      </c>
      <c r="N1177" s="30">
        <v>0</v>
      </c>
      <c r="O1177" s="30">
        <f t="shared" ref="O1177:O1237" si="20">L1177-M1177-N1177</f>
        <v>300000</v>
      </c>
      <c r="P1177" s="44">
        <v>-0.59</v>
      </c>
    </row>
    <row r="1178" spans="2:16" s="66" customFormat="1" ht="29" x14ac:dyDescent="0.35">
      <c r="B1178" s="35" t="s">
        <v>5648</v>
      </c>
      <c r="C1178" s="80" t="s">
        <v>5656</v>
      </c>
      <c r="D1178" s="36">
        <v>45505</v>
      </c>
      <c r="E1178" s="36">
        <v>45516</v>
      </c>
      <c r="F1178" s="36">
        <v>45838</v>
      </c>
      <c r="G1178" s="64" t="s">
        <v>5683</v>
      </c>
      <c r="H1178" s="35" t="s">
        <v>734</v>
      </c>
      <c r="I1178" s="35" t="s">
        <v>2480</v>
      </c>
      <c r="J1178" s="43" t="s">
        <v>5675</v>
      </c>
      <c r="K1178" s="43" t="s">
        <v>3181</v>
      </c>
      <c r="L1178" s="30">
        <v>65000</v>
      </c>
      <c r="M1178" s="30">
        <v>2.88</v>
      </c>
      <c r="N1178" s="30">
        <f>25000+27670.24+7806.21+4520.67</f>
        <v>64997.120000000003</v>
      </c>
      <c r="O1178" s="30">
        <f t="shared" si="20"/>
        <v>0</v>
      </c>
      <c r="P1178" s="44" t="s">
        <v>6519</v>
      </c>
    </row>
    <row r="1179" spans="2:16" s="66" customFormat="1" x14ac:dyDescent="0.35">
      <c r="B1179" s="35" t="s">
        <v>5646</v>
      </c>
      <c r="C1179" s="80" t="s">
        <v>5647</v>
      </c>
      <c r="D1179" s="36">
        <v>45481</v>
      </c>
      <c r="E1179" s="36">
        <v>45520</v>
      </c>
      <c r="F1179" s="36">
        <v>46568</v>
      </c>
      <c r="G1179" s="64" t="s">
        <v>6</v>
      </c>
      <c r="H1179" s="35" t="s">
        <v>1849</v>
      </c>
      <c r="I1179" s="35" t="s">
        <v>3491</v>
      </c>
      <c r="J1179" s="43" t="s">
        <v>5412</v>
      </c>
      <c r="K1179" s="43" t="s">
        <v>2583</v>
      </c>
      <c r="L1179" s="30">
        <v>65100</v>
      </c>
      <c r="M1179" s="30">
        <v>0</v>
      </c>
      <c r="N1179" s="30">
        <v>0</v>
      </c>
      <c r="O1179" s="30">
        <f t="shared" si="20"/>
        <v>65100</v>
      </c>
      <c r="P1179" s="44">
        <v>8.75</v>
      </c>
    </row>
    <row r="1180" spans="2:16" s="66" customFormat="1" x14ac:dyDescent="0.35">
      <c r="B1180" s="35" t="s">
        <v>5657</v>
      </c>
      <c r="C1180" s="80" t="s">
        <v>5671</v>
      </c>
      <c r="D1180" s="36">
        <v>45513</v>
      </c>
      <c r="E1180" s="36">
        <v>45520</v>
      </c>
      <c r="F1180" s="36">
        <v>47299</v>
      </c>
      <c r="G1180" s="64" t="s">
        <v>6</v>
      </c>
      <c r="H1180" s="35" t="s">
        <v>5658</v>
      </c>
      <c r="I1180" s="35" t="s">
        <v>2480</v>
      </c>
      <c r="J1180" s="43" t="s">
        <v>5411</v>
      </c>
      <c r="K1180" s="43" t="s">
        <v>2584</v>
      </c>
      <c r="L1180" s="30">
        <v>127750</v>
      </c>
      <c r="M1180" s="30">
        <v>0</v>
      </c>
      <c r="N1180" s="30">
        <f>14347.99</f>
        <v>14347.99</v>
      </c>
      <c r="O1180" s="30">
        <f t="shared" si="20"/>
        <v>113402.01</v>
      </c>
      <c r="P1180" s="44">
        <v>3.13</v>
      </c>
    </row>
    <row r="1181" spans="2:16" s="66" customFormat="1" x14ac:dyDescent="0.35">
      <c r="B1181" s="35" t="s">
        <v>5659</v>
      </c>
      <c r="C1181" s="80" t="s">
        <v>5672</v>
      </c>
      <c r="D1181" s="36">
        <v>45507</v>
      </c>
      <c r="E1181" s="36">
        <v>45520</v>
      </c>
      <c r="F1181" s="36">
        <v>47299</v>
      </c>
      <c r="G1181" s="64" t="s">
        <v>6</v>
      </c>
      <c r="H1181" s="35" t="s">
        <v>5658</v>
      </c>
      <c r="I1181" s="35" t="s">
        <v>2480</v>
      </c>
      <c r="J1181" s="43" t="s">
        <v>5411</v>
      </c>
      <c r="K1181" s="43" t="s">
        <v>2586</v>
      </c>
      <c r="L1181" s="30">
        <v>58625</v>
      </c>
      <c r="M1181" s="30">
        <v>0</v>
      </c>
      <c r="N1181" s="30">
        <f>8881.35</f>
        <v>8881.35</v>
      </c>
      <c r="O1181" s="30">
        <f t="shared" si="20"/>
        <v>49743.65</v>
      </c>
      <c r="P1181" s="44">
        <v>3.13</v>
      </c>
    </row>
    <row r="1182" spans="2:16" s="66" customFormat="1" x14ac:dyDescent="0.35">
      <c r="B1182" s="35" t="s">
        <v>5650</v>
      </c>
      <c r="C1182" s="80" t="s">
        <v>5651</v>
      </c>
      <c r="D1182" s="36">
        <v>45490</v>
      </c>
      <c r="E1182" s="36">
        <v>45520</v>
      </c>
      <c r="F1182" s="36">
        <v>47345</v>
      </c>
      <c r="G1182" s="64" t="s">
        <v>6</v>
      </c>
      <c r="H1182" s="35" t="s">
        <v>1293</v>
      </c>
      <c r="I1182" s="35" t="s">
        <v>2480</v>
      </c>
      <c r="J1182" s="43" t="s">
        <v>4750</v>
      </c>
      <c r="K1182" s="43" t="s">
        <v>2583</v>
      </c>
      <c r="L1182" s="30">
        <v>7500</v>
      </c>
      <c r="M1182" s="30">
        <v>0</v>
      </c>
      <c r="N1182" s="30">
        <v>0</v>
      </c>
      <c r="O1182" s="30">
        <f t="shared" si="20"/>
        <v>7500</v>
      </c>
      <c r="P1182" s="44">
        <v>3.02</v>
      </c>
    </row>
    <row r="1183" spans="2:16" s="66" customFormat="1" x14ac:dyDescent="0.35">
      <c r="B1183" s="35" t="s">
        <v>5652</v>
      </c>
      <c r="C1183" s="80" t="s">
        <v>5653</v>
      </c>
      <c r="D1183" s="36">
        <v>45490</v>
      </c>
      <c r="E1183" s="36">
        <v>45520</v>
      </c>
      <c r="F1183" s="36">
        <v>47345</v>
      </c>
      <c r="G1183" s="64" t="s">
        <v>6</v>
      </c>
      <c r="H1183" s="35" t="s">
        <v>1293</v>
      </c>
      <c r="I1183" s="35" t="s">
        <v>2480</v>
      </c>
      <c r="J1183" s="43" t="s">
        <v>4750</v>
      </c>
      <c r="K1183" s="43" t="s">
        <v>2586</v>
      </c>
      <c r="L1183" s="30">
        <v>127219.8</v>
      </c>
      <c r="M1183" s="30">
        <v>0</v>
      </c>
      <c r="N1183" s="30">
        <f>127219.8</f>
        <v>127219.8</v>
      </c>
      <c r="O1183" s="30">
        <f t="shared" si="20"/>
        <v>0</v>
      </c>
      <c r="P1183" s="44">
        <v>3.02</v>
      </c>
    </row>
    <row r="1184" spans="2:16" s="66" customFormat="1" x14ac:dyDescent="0.35">
      <c r="B1184" s="35" t="s">
        <v>5634</v>
      </c>
      <c r="C1184" s="80" t="s">
        <v>5631</v>
      </c>
      <c r="D1184" s="36">
        <v>45461</v>
      </c>
      <c r="E1184" s="36">
        <v>45523</v>
      </c>
      <c r="F1184" s="36">
        <v>45807</v>
      </c>
      <c r="G1184" s="64" t="s">
        <v>6</v>
      </c>
      <c r="H1184" s="35" t="s">
        <v>5337</v>
      </c>
      <c r="I1184" s="35" t="s">
        <v>2508</v>
      </c>
      <c r="J1184" s="43" t="s">
        <v>5666</v>
      </c>
      <c r="K1184" s="43" t="s">
        <v>2581</v>
      </c>
      <c r="L1184" s="30">
        <v>80436</v>
      </c>
      <c r="M1184" s="30">
        <v>0</v>
      </c>
      <c r="N1184" s="30">
        <f>80436</f>
        <v>80436</v>
      </c>
      <c r="O1184" s="30">
        <f t="shared" si="20"/>
        <v>0</v>
      </c>
      <c r="P1184" s="44" t="s">
        <v>2874</v>
      </c>
    </row>
    <row r="1185" spans="2:16" s="66" customFormat="1" ht="29" x14ac:dyDescent="0.35">
      <c r="B1185" s="35" t="s">
        <v>5648</v>
      </c>
      <c r="C1185" s="80" t="s">
        <v>5649</v>
      </c>
      <c r="D1185" s="36">
        <v>45505</v>
      </c>
      <c r="E1185" s="36">
        <v>45523</v>
      </c>
      <c r="F1185" s="36">
        <v>45838</v>
      </c>
      <c r="G1185" s="64" t="s">
        <v>6</v>
      </c>
      <c r="H1185" s="35" t="s">
        <v>4728</v>
      </c>
      <c r="I1185" s="35" t="s">
        <v>2944</v>
      </c>
      <c r="J1185" s="43" t="s">
        <v>5077</v>
      </c>
      <c r="K1185" s="43" t="s">
        <v>3181</v>
      </c>
      <c r="L1185" s="30">
        <v>150000</v>
      </c>
      <c r="M1185" s="30">
        <v>0</v>
      </c>
      <c r="N1185" s="30">
        <f>23100+103000</f>
        <v>126100</v>
      </c>
      <c r="O1185" s="30">
        <f t="shared" si="20"/>
        <v>23900</v>
      </c>
      <c r="P1185" s="44" t="s">
        <v>2977</v>
      </c>
    </row>
    <row r="1186" spans="2:16" s="66" customFormat="1" ht="29" x14ac:dyDescent="0.35">
      <c r="B1186" s="35" t="s">
        <v>5632</v>
      </c>
      <c r="C1186" s="80" t="s">
        <v>5633</v>
      </c>
      <c r="D1186" s="36">
        <v>45473</v>
      </c>
      <c r="E1186" s="36">
        <v>45527</v>
      </c>
      <c r="F1186" s="36">
        <v>45792</v>
      </c>
      <c r="G1186" s="64" t="s">
        <v>6</v>
      </c>
      <c r="H1186" s="35" t="s">
        <v>1423</v>
      </c>
      <c r="I1186" s="35" t="s">
        <v>2540</v>
      </c>
      <c r="J1186" s="43" t="s">
        <v>5664</v>
      </c>
      <c r="K1186" s="43" t="s">
        <v>2581</v>
      </c>
      <c r="L1186" s="30">
        <v>12424</v>
      </c>
      <c r="M1186" s="30">
        <v>0</v>
      </c>
      <c r="N1186" s="30">
        <v>12242</v>
      </c>
      <c r="O1186" s="30">
        <f t="shared" si="20"/>
        <v>182</v>
      </c>
      <c r="P1186" s="44" t="s">
        <v>2874</v>
      </c>
    </row>
    <row r="1187" spans="2:16" s="54" customFormat="1" x14ac:dyDescent="0.35">
      <c r="B1187" s="72" t="s">
        <v>5687</v>
      </c>
      <c r="C1187" s="89" t="s">
        <v>5714</v>
      </c>
      <c r="D1187" s="36">
        <v>45505</v>
      </c>
      <c r="E1187" s="36">
        <v>45537</v>
      </c>
      <c r="F1187" s="36">
        <v>45657</v>
      </c>
      <c r="G1187" s="64" t="s">
        <v>6</v>
      </c>
      <c r="H1187" s="72" t="s">
        <v>4374</v>
      </c>
      <c r="I1187" s="35" t="s">
        <v>2804</v>
      </c>
      <c r="J1187" s="43" t="s">
        <v>5768</v>
      </c>
      <c r="K1187" s="43" t="s">
        <v>2573</v>
      </c>
      <c r="L1187" s="73">
        <v>1440</v>
      </c>
      <c r="M1187" s="30">
        <v>0</v>
      </c>
      <c r="N1187" s="70"/>
      <c r="O1187" s="30">
        <f t="shared" si="20"/>
        <v>1440</v>
      </c>
      <c r="P1187" s="71"/>
    </row>
    <row r="1188" spans="2:16" ht="29" x14ac:dyDescent="0.35">
      <c r="B1188" s="72" t="s">
        <v>5687</v>
      </c>
      <c r="C1188" s="89" t="s">
        <v>5715</v>
      </c>
      <c r="D1188" s="36">
        <v>45505</v>
      </c>
      <c r="E1188" s="36">
        <v>45537</v>
      </c>
      <c r="F1188" s="36">
        <v>45657</v>
      </c>
      <c r="G1188" s="64" t="s">
        <v>6</v>
      </c>
      <c r="H1188" s="72" t="s">
        <v>940</v>
      </c>
      <c r="I1188" s="35" t="s">
        <v>2782</v>
      </c>
      <c r="J1188" s="43" t="s">
        <v>5768</v>
      </c>
      <c r="K1188" s="43" t="s">
        <v>2573</v>
      </c>
      <c r="L1188" s="73">
        <v>1440</v>
      </c>
      <c r="M1188" s="30">
        <v>0</v>
      </c>
      <c r="N1188" s="30">
        <f>1440</f>
        <v>1440</v>
      </c>
      <c r="O1188" s="30">
        <f t="shared" si="20"/>
        <v>0</v>
      </c>
      <c r="P1188" s="43" t="s">
        <v>5767</v>
      </c>
    </row>
    <row r="1189" spans="2:16" x14ac:dyDescent="0.35">
      <c r="B1189" s="72" t="s">
        <v>5687</v>
      </c>
      <c r="C1189" s="89" t="s">
        <v>5716</v>
      </c>
      <c r="D1189" s="36">
        <v>45505</v>
      </c>
      <c r="E1189" s="36">
        <v>45537</v>
      </c>
      <c r="F1189" s="36">
        <v>45657</v>
      </c>
      <c r="G1189" s="64" t="s">
        <v>6</v>
      </c>
      <c r="H1189" s="72" t="s">
        <v>23</v>
      </c>
      <c r="I1189" s="35" t="s">
        <v>2522</v>
      </c>
      <c r="J1189" s="43" t="s">
        <v>5768</v>
      </c>
      <c r="K1189" s="43" t="s">
        <v>2573</v>
      </c>
      <c r="L1189" s="73">
        <v>1440</v>
      </c>
      <c r="M1189" s="30">
        <v>0</v>
      </c>
      <c r="N1189" s="30">
        <v>1440</v>
      </c>
      <c r="O1189" s="30">
        <f t="shared" si="20"/>
        <v>0</v>
      </c>
      <c r="P1189" s="43"/>
    </row>
    <row r="1190" spans="2:16" ht="29" x14ac:dyDescent="0.35">
      <c r="B1190" s="72" t="s">
        <v>5688</v>
      </c>
      <c r="C1190" s="89" t="s">
        <v>5717</v>
      </c>
      <c r="D1190" s="36">
        <v>45513</v>
      </c>
      <c r="E1190" s="36">
        <v>45538</v>
      </c>
      <c r="F1190" s="36">
        <v>45979</v>
      </c>
      <c r="G1190" s="64" t="s">
        <v>6</v>
      </c>
      <c r="H1190" s="72" t="s">
        <v>1272</v>
      </c>
      <c r="I1190" s="35" t="s">
        <v>3333</v>
      </c>
      <c r="J1190" s="77" t="s">
        <v>5801</v>
      </c>
      <c r="K1190" s="43" t="s">
        <v>5076</v>
      </c>
      <c r="L1190" s="73">
        <v>20412</v>
      </c>
      <c r="M1190" s="30">
        <v>0</v>
      </c>
      <c r="N1190" s="30"/>
      <c r="O1190" s="30">
        <f t="shared" si="20"/>
        <v>20412</v>
      </c>
      <c r="P1190" s="44">
        <v>2.5099999999999998</v>
      </c>
    </row>
    <row r="1191" spans="2:16" x14ac:dyDescent="0.35">
      <c r="B1191" s="72" t="s">
        <v>5689</v>
      </c>
      <c r="C1191" s="89" t="s">
        <v>5718</v>
      </c>
      <c r="D1191" s="36">
        <v>45534</v>
      </c>
      <c r="E1191" s="36">
        <v>45538</v>
      </c>
      <c r="F1191" s="36">
        <v>46632</v>
      </c>
      <c r="G1191" s="64" t="s">
        <v>6</v>
      </c>
      <c r="H1191" s="72" t="s">
        <v>1546</v>
      </c>
      <c r="I1191" s="35" t="s">
        <v>2505</v>
      </c>
      <c r="J1191" s="43" t="s">
        <v>5769</v>
      </c>
      <c r="K1191" s="43" t="s">
        <v>2583</v>
      </c>
      <c r="L1191" s="73">
        <v>11250</v>
      </c>
      <c r="M1191" s="30">
        <v>0</v>
      </c>
      <c r="N1191" s="30"/>
      <c r="O1191" s="30">
        <f t="shared" si="20"/>
        <v>11250</v>
      </c>
      <c r="P1191" s="44">
        <v>7.3</v>
      </c>
    </row>
    <row r="1192" spans="2:16" x14ac:dyDescent="0.35">
      <c r="B1192" s="72" t="s">
        <v>5690</v>
      </c>
      <c r="C1192" s="89" t="s">
        <v>5719</v>
      </c>
      <c r="D1192" s="36">
        <v>45534</v>
      </c>
      <c r="E1192" s="36">
        <v>45538</v>
      </c>
      <c r="F1192" s="36">
        <v>45778</v>
      </c>
      <c r="G1192" s="64" t="s">
        <v>6</v>
      </c>
      <c r="H1192" s="72" t="s">
        <v>1546</v>
      </c>
      <c r="I1192" s="35" t="s">
        <v>2505</v>
      </c>
      <c r="J1192" s="43" t="s">
        <v>5769</v>
      </c>
      <c r="K1192" s="43" t="s">
        <v>5076</v>
      </c>
      <c r="L1192" s="73">
        <v>50000</v>
      </c>
      <c r="M1192" s="30">
        <v>0</v>
      </c>
      <c r="N1192" s="30"/>
      <c r="O1192" s="30">
        <f t="shared" si="20"/>
        <v>50000</v>
      </c>
      <c r="P1192" s="44">
        <v>7.3</v>
      </c>
    </row>
    <row r="1193" spans="2:16" ht="29" x14ac:dyDescent="0.35">
      <c r="B1193" s="72" t="s">
        <v>5691</v>
      </c>
      <c r="C1193" s="89" t="s">
        <v>5720</v>
      </c>
      <c r="D1193" s="36">
        <v>45534</v>
      </c>
      <c r="E1193" s="36">
        <v>45538</v>
      </c>
      <c r="F1193" s="36">
        <v>45596</v>
      </c>
      <c r="G1193" s="64" t="s">
        <v>5683</v>
      </c>
      <c r="H1193" s="72" t="s">
        <v>1546</v>
      </c>
      <c r="I1193" s="35" t="s">
        <v>2505</v>
      </c>
      <c r="J1193" s="43" t="s">
        <v>5769</v>
      </c>
      <c r="K1193" s="72" t="s">
        <v>5804</v>
      </c>
      <c r="L1193" s="73">
        <v>50000</v>
      </c>
      <c r="M1193" s="30">
        <v>50000</v>
      </c>
      <c r="N1193" s="30"/>
      <c r="O1193" s="30">
        <f t="shared" si="20"/>
        <v>0</v>
      </c>
      <c r="P1193" s="44" t="s">
        <v>6803</v>
      </c>
    </row>
    <row r="1194" spans="2:16" x14ac:dyDescent="0.35">
      <c r="B1194" s="72" t="s">
        <v>5692</v>
      </c>
      <c r="C1194" s="89" t="s">
        <v>5721</v>
      </c>
      <c r="D1194" s="36">
        <v>45532</v>
      </c>
      <c r="E1194" s="36">
        <v>45538</v>
      </c>
      <c r="F1194" s="36">
        <v>45902</v>
      </c>
      <c r="G1194" s="64" t="s">
        <v>6</v>
      </c>
      <c r="H1194" s="72" t="s">
        <v>5755</v>
      </c>
      <c r="I1194" s="35" t="s">
        <v>2543</v>
      </c>
      <c r="J1194" s="43" t="s">
        <v>5771</v>
      </c>
      <c r="K1194" s="43" t="s">
        <v>2586</v>
      </c>
      <c r="L1194" s="73">
        <v>10000</v>
      </c>
      <c r="M1194" s="30">
        <v>0</v>
      </c>
      <c r="N1194" s="30"/>
      <c r="O1194" s="30">
        <f t="shared" si="20"/>
        <v>10000</v>
      </c>
      <c r="P1194" s="44">
        <v>5.31</v>
      </c>
    </row>
    <row r="1195" spans="2:16" x14ac:dyDescent="0.35">
      <c r="B1195" s="72" t="s">
        <v>5693</v>
      </c>
      <c r="C1195" s="89" t="s">
        <v>5722</v>
      </c>
      <c r="D1195" s="36">
        <v>45532</v>
      </c>
      <c r="E1195" s="36">
        <v>45538</v>
      </c>
      <c r="F1195" s="36">
        <v>45596</v>
      </c>
      <c r="G1195" s="64" t="s">
        <v>6</v>
      </c>
      <c r="H1195" s="72" t="s">
        <v>5755</v>
      </c>
      <c r="I1195" s="35" t="s">
        <v>2543</v>
      </c>
      <c r="J1195" s="43" t="s">
        <v>5771</v>
      </c>
      <c r="K1195" s="43" t="s">
        <v>5076</v>
      </c>
      <c r="L1195" s="73">
        <v>46500</v>
      </c>
      <c r="M1195" s="30">
        <v>0</v>
      </c>
      <c r="N1195" s="30"/>
      <c r="O1195" s="30">
        <f t="shared" si="20"/>
        <v>46500</v>
      </c>
      <c r="P1195" s="44">
        <v>5.31</v>
      </c>
    </row>
    <row r="1196" spans="2:16" ht="29" x14ac:dyDescent="0.35">
      <c r="B1196" s="72" t="s">
        <v>5694</v>
      </c>
      <c r="C1196" s="89" t="s">
        <v>5723</v>
      </c>
      <c r="D1196" s="36">
        <v>45534</v>
      </c>
      <c r="E1196" s="36">
        <v>45539</v>
      </c>
      <c r="F1196" s="36">
        <v>46633</v>
      </c>
      <c r="G1196" s="64" t="s">
        <v>6</v>
      </c>
      <c r="H1196" s="72" t="s">
        <v>3494</v>
      </c>
      <c r="I1196" s="35" t="s">
        <v>2480</v>
      </c>
      <c r="J1196" s="43" t="s">
        <v>5772</v>
      </c>
      <c r="K1196" s="43" t="s">
        <v>2583</v>
      </c>
      <c r="L1196" s="73">
        <v>72500</v>
      </c>
      <c r="M1196" s="30">
        <v>0</v>
      </c>
      <c r="N1196" s="30"/>
      <c r="O1196" s="30">
        <f t="shared" si="20"/>
        <v>72500</v>
      </c>
      <c r="P1196" s="44">
        <v>23.51</v>
      </c>
    </row>
    <row r="1197" spans="2:16" ht="29" x14ac:dyDescent="0.35">
      <c r="B1197" s="72" t="s">
        <v>5695</v>
      </c>
      <c r="C1197" s="89" t="s">
        <v>5724</v>
      </c>
      <c r="D1197" s="36">
        <v>45534</v>
      </c>
      <c r="E1197" s="36">
        <v>45539</v>
      </c>
      <c r="F1197" s="36">
        <v>46633</v>
      </c>
      <c r="G1197" s="64" t="s">
        <v>6</v>
      </c>
      <c r="H1197" s="72" t="s">
        <v>3494</v>
      </c>
      <c r="I1197" s="35" t="s">
        <v>2480</v>
      </c>
      <c r="J1197" s="43" t="s">
        <v>5772</v>
      </c>
      <c r="K1197" s="43" t="s">
        <v>2586</v>
      </c>
      <c r="L1197" s="73">
        <v>6000</v>
      </c>
      <c r="M1197" s="30">
        <v>0</v>
      </c>
      <c r="N1197" s="30"/>
      <c r="O1197" s="30">
        <f t="shared" si="20"/>
        <v>6000</v>
      </c>
      <c r="P1197" s="44">
        <v>23.51</v>
      </c>
    </row>
    <row r="1198" spans="2:16" ht="29" x14ac:dyDescent="0.35">
      <c r="B1198" s="72" t="s">
        <v>5696</v>
      </c>
      <c r="C1198" s="89" t="s">
        <v>5725</v>
      </c>
      <c r="D1198" s="36">
        <v>45534</v>
      </c>
      <c r="E1198" s="36">
        <v>45539</v>
      </c>
      <c r="F1198" s="36">
        <v>46633</v>
      </c>
      <c r="G1198" s="64" t="s">
        <v>6</v>
      </c>
      <c r="H1198" s="72" t="s">
        <v>3494</v>
      </c>
      <c r="I1198" s="35" t="s">
        <v>2480</v>
      </c>
      <c r="J1198" s="43" t="s">
        <v>5772</v>
      </c>
      <c r="K1198" s="43" t="s">
        <v>5076</v>
      </c>
      <c r="L1198" s="73">
        <v>50000</v>
      </c>
      <c r="M1198" s="30">
        <v>0</v>
      </c>
      <c r="N1198" s="30"/>
      <c r="O1198" s="30">
        <f t="shared" si="20"/>
        <v>50000</v>
      </c>
      <c r="P1198" s="44">
        <v>23.51</v>
      </c>
    </row>
    <row r="1199" spans="2:16" x14ac:dyDescent="0.35">
      <c r="B1199" s="72" t="s">
        <v>5687</v>
      </c>
      <c r="C1199" s="89" t="s">
        <v>5726</v>
      </c>
      <c r="D1199" s="36">
        <v>45505</v>
      </c>
      <c r="E1199" s="36">
        <v>45539</v>
      </c>
      <c r="F1199" s="36">
        <v>45657</v>
      </c>
      <c r="G1199" s="64" t="s">
        <v>6</v>
      </c>
      <c r="H1199" s="72" t="s">
        <v>5756</v>
      </c>
      <c r="I1199" s="35" t="s">
        <v>3015</v>
      </c>
      <c r="J1199" s="43" t="s">
        <v>5768</v>
      </c>
      <c r="K1199" s="43" t="s">
        <v>2573</v>
      </c>
      <c r="L1199" s="73">
        <v>1440</v>
      </c>
      <c r="M1199" s="30">
        <v>0</v>
      </c>
      <c r="N1199" s="30">
        <f>1440</f>
        <v>1440</v>
      </c>
      <c r="O1199" s="30">
        <f t="shared" si="20"/>
        <v>0</v>
      </c>
      <c r="P1199" s="43"/>
    </row>
    <row r="1200" spans="2:16" x14ac:dyDescent="0.35">
      <c r="B1200" s="72" t="s">
        <v>5687</v>
      </c>
      <c r="C1200" s="89" t="s">
        <v>5727</v>
      </c>
      <c r="D1200" s="36">
        <v>45505</v>
      </c>
      <c r="E1200" s="36">
        <v>45539</v>
      </c>
      <c r="F1200" s="36">
        <v>45657</v>
      </c>
      <c r="G1200" s="64" t="s">
        <v>6</v>
      </c>
      <c r="H1200" s="72" t="s">
        <v>33</v>
      </c>
      <c r="I1200" s="35" t="s">
        <v>3086</v>
      </c>
      <c r="J1200" s="43" t="s">
        <v>5768</v>
      </c>
      <c r="K1200" s="43" t="s">
        <v>2573</v>
      </c>
      <c r="L1200" s="73">
        <v>1440</v>
      </c>
      <c r="M1200" s="30">
        <v>0</v>
      </c>
      <c r="N1200" s="30">
        <f>1440</f>
        <v>1440</v>
      </c>
      <c r="O1200" s="30">
        <f t="shared" si="20"/>
        <v>0</v>
      </c>
      <c r="P1200" s="43" t="s">
        <v>2874</v>
      </c>
    </row>
    <row r="1201" spans="2:16" x14ac:dyDescent="0.35">
      <c r="B1201" s="72" t="s">
        <v>5697</v>
      </c>
      <c r="C1201" s="89" t="s">
        <v>5728</v>
      </c>
      <c r="D1201" s="36">
        <v>45534</v>
      </c>
      <c r="E1201" s="36">
        <v>45540</v>
      </c>
      <c r="F1201" s="36">
        <v>47299</v>
      </c>
      <c r="G1201" s="64" t="s">
        <v>6</v>
      </c>
      <c r="H1201" s="72" t="s">
        <v>5757</v>
      </c>
      <c r="I1201" s="35" t="s">
        <v>2528</v>
      </c>
      <c r="J1201" s="43" t="s">
        <v>4490</v>
      </c>
      <c r="K1201" s="43" t="s">
        <v>2586</v>
      </c>
      <c r="L1201" s="73">
        <v>75000</v>
      </c>
      <c r="M1201" s="30">
        <v>0</v>
      </c>
      <c r="N1201" s="30">
        <f>2264.07+4589.64+63844.97+4301.32</f>
        <v>75000</v>
      </c>
      <c r="O1201" s="30">
        <f t="shared" si="20"/>
        <v>0</v>
      </c>
      <c r="P1201" s="44">
        <v>4.7300000000000004</v>
      </c>
    </row>
    <row r="1202" spans="2:16" x14ac:dyDescent="0.35">
      <c r="B1202" s="72" t="s">
        <v>5687</v>
      </c>
      <c r="C1202" s="89" t="s">
        <v>5729</v>
      </c>
      <c r="D1202" s="36">
        <v>45505</v>
      </c>
      <c r="E1202" s="36">
        <v>45544</v>
      </c>
      <c r="F1202" s="36">
        <v>45657</v>
      </c>
      <c r="G1202" s="64" t="s">
        <v>6</v>
      </c>
      <c r="H1202" s="72" t="s">
        <v>4875</v>
      </c>
      <c r="I1202" s="35" t="s">
        <v>2480</v>
      </c>
      <c r="J1202" s="43" t="s">
        <v>5768</v>
      </c>
      <c r="K1202" s="43" t="s">
        <v>2573</v>
      </c>
      <c r="L1202" s="73">
        <v>1440</v>
      </c>
      <c r="M1202" s="30">
        <v>0</v>
      </c>
      <c r="N1202" s="30">
        <f>1440</f>
        <v>1440</v>
      </c>
      <c r="O1202" s="30">
        <f t="shared" si="20"/>
        <v>0</v>
      </c>
      <c r="P1202" s="43"/>
    </row>
    <row r="1203" spans="2:16" x14ac:dyDescent="0.35">
      <c r="B1203" s="72" t="s">
        <v>5698</v>
      </c>
      <c r="C1203" s="89" t="s">
        <v>5730</v>
      </c>
      <c r="D1203" s="36">
        <v>45507</v>
      </c>
      <c r="E1203" s="36">
        <v>45544</v>
      </c>
      <c r="F1203" s="36">
        <v>47299</v>
      </c>
      <c r="G1203" s="64" t="s">
        <v>6</v>
      </c>
      <c r="H1203" s="72" t="s">
        <v>5658</v>
      </c>
      <c r="I1203" s="35" t="s">
        <v>2528</v>
      </c>
      <c r="J1203" s="43" t="s">
        <v>5773</v>
      </c>
      <c r="K1203" s="43" t="s">
        <v>2583</v>
      </c>
      <c r="L1203" s="73">
        <v>50000</v>
      </c>
      <c r="M1203" s="30">
        <v>0</v>
      </c>
      <c r="N1203" s="30"/>
      <c r="O1203" s="30">
        <f t="shared" si="20"/>
        <v>50000</v>
      </c>
      <c r="P1203" s="44">
        <v>3.13</v>
      </c>
    </row>
    <row r="1204" spans="2:16" x14ac:dyDescent="0.35">
      <c r="B1204" s="72" t="s">
        <v>5648</v>
      </c>
      <c r="C1204" s="89" t="s">
        <v>5731</v>
      </c>
      <c r="D1204" s="36">
        <v>45505</v>
      </c>
      <c r="E1204" s="36">
        <v>45545</v>
      </c>
      <c r="F1204" s="36">
        <v>45838</v>
      </c>
      <c r="G1204" s="64" t="s">
        <v>6</v>
      </c>
      <c r="H1204" s="72" t="s">
        <v>5758</v>
      </c>
      <c r="I1204" s="35" t="s">
        <v>2492</v>
      </c>
      <c r="J1204" s="43" t="s">
        <v>5774</v>
      </c>
      <c r="K1204" s="72" t="s">
        <v>4704</v>
      </c>
      <c r="L1204" s="73">
        <v>83421</v>
      </c>
      <c r="M1204" s="30">
        <v>0</v>
      </c>
      <c r="N1204" s="30">
        <f>12834+51336+19251</f>
        <v>83421</v>
      </c>
      <c r="O1204" s="30">
        <f t="shared" si="20"/>
        <v>0</v>
      </c>
      <c r="P1204" s="43"/>
    </row>
    <row r="1205" spans="2:16" x14ac:dyDescent="0.35">
      <c r="B1205" s="72" t="s">
        <v>5699</v>
      </c>
      <c r="C1205" s="89" t="s">
        <v>5732</v>
      </c>
      <c r="D1205" s="36">
        <v>45538</v>
      </c>
      <c r="E1205" s="36">
        <v>45545</v>
      </c>
      <c r="F1205" s="36">
        <v>46639</v>
      </c>
      <c r="G1205" s="64" t="s">
        <v>6</v>
      </c>
      <c r="H1205" s="72" t="s">
        <v>5759</v>
      </c>
      <c r="I1205" s="35" t="s">
        <v>2501</v>
      </c>
      <c r="J1205" s="43" t="s">
        <v>5775</v>
      </c>
      <c r="K1205" s="43" t="s">
        <v>2583</v>
      </c>
      <c r="L1205" s="74">
        <v>262500</v>
      </c>
      <c r="M1205" s="30">
        <v>0</v>
      </c>
      <c r="N1205" s="30"/>
      <c r="O1205" s="30">
        <f t="shared" si="20"/>
        <v>262500</v>
      </c>
      <c r="P1205" s="44">
        <v>6.78</v>
      </c>
    </row>
    <row r="1206" spans="2:16" x14ac:dyDescent="0.35">
      <c r="B1206" s="72" t="s">
        <v>5700</v>
      </c>
      <c r="C1206" s="89" t="s">
        <v>5733</v>
      </c>
      <c r="D1206" s="36">
        <v>45538</v>
      </c>
      <c r="E1206" s="36">
        <v>45545</v>
      </c>
      <c r="F1206" s="36">
        <v>46568</v>
      </c>
      <c r="G1206" s="64" t="s">
        <v>6</v>
      </c>
      <c r="H1206" s="72" t="s">
        <v>5759</v>
      </c>
      <c r="I1206" s="35" t="s">
        <v>2501</v>
      </c>
      <c r="J1206" s="43" t="s">
        <v>5775</v>
      </c>
      <c r="K1206" s="43" t="s">
        <v>2586</v>
      </c>
      <c r="L1206" s="74">
        <v>28126</v>
      </c>
      <c r="M1206" s="30">
        <v>0</v>
      </c>
      <c r="N1206" s="30"/>
      <c r="O1206" s="30">
        <f t="shared" si="20"/>
        <v>28126</v>
      </c>
      <c r="P1206" s="44">
        <v>4.38</v>
      </c>
    </row>
    <row r="1207" spans="2:16" x14ac:dyDescent="0.35">
      <c r="B1207" s="72" t="s">
        <v>5701</v>
      </c>
      <c r="C1207" s="89" t="s">
        <v>5734</v>
      </c>
      <c r="D1207" s="36">
        <v>45538</v>
      </c>
      <c r="E1207" s="36">
        <v>45545</v>
      </c>
      <c r="F1207" s="36">
        <v>46274</v>
      </c>
      <c r="G1207" s="64" t="s">
        <v>6</v>
      </c>
      <c r="H1207" s="72" t="s">
        <v>5759</v>
      </c>
      <c r="I1207" s="35" t="s">
        <v>2501</v>
      </c>
      <c r="J1207" s="43" t="s">
        <v>5775</v>
      </c>
      <c r="K1207" s="75" t="s">
        <v>2585</v>
      </c>
      <c r="L1207" s="74">
        <v>100000</v>
      </c>
      <c r="M1207" s="30">
        <v>0</v>
      </c>
      <c r="N1207" s="30"/>
      <c r="O1207" s="30">
        <f t="shared" si="20"/>
        <v>100000</v>
      </c>
      <c r="P1207" s="44">
        <v>4.38</v>
      </c>
    </row>
    <row r="1208" spans="2:16" x14ac:dyDescent="0.35">
      <c r="B1208" s="72" t="s">
        <v>5702</v>
      </c>
      <c r="C1208" s="89" t="s">
        <v>5735</v>
      </c>
      <c r="D1208" s="36">
        <v>45538</v>
      </c>
      <c r="E1208" s="36">
        <v>45545</v>
      </c>
      <c r="F1208" s="36">
        <v>46639</v>
      </c>
      <c r="G1208" s="64" t="s">
        <v>6</v>
      </c>
      <c r="H1208" s="72" t="s">
        <v>5759</v>
      </c>
      <c r="I1208" s="35" t="s">
        <v>2501</v>
      </c>
      <c r="J1208" s="43" t="s">
        <v>5775</v>
      </c>
      <c r="K1208" s="43" t="s">
        <v>2583</v>
      </c>
      <c r="L1208" s="74">
        <v>262500</v>
      </c>
      <c r="M1208" s="30">
        <v>0</v>
      </c>
      <c r="N1208" s="30"/>
      <c r="O1208" s="30">
        <f t="shared" si="20"/>
        <v>262500</v>
      </c>
      <c r="P1208" s="44">
        <v>4.38</v>
      </c>
    </row>
    <row r="1209" spans="2:16" x14ac:dyDescent="0.35">
      <c r="B1209" s="72" t="s">
        <v>5703</v>
      </c>
      <c r="C1209" s="89" t="s">
        <v>5736</v>
      </c>
      <c r="D1209" s="36">
        <v>45507</v>
      </c>
      <c r="E1209" s="36">
        <v>45545</v>
      </c>
      <c r="F1209" s="36">
        <v>46274</v>
      </c>
      <c r="G1209" s="64" t="s">
        <v>6</v>
      </c>
      <c r="H1209" s="72" t="s">
        <v>5759</v>
      </c>
      <c r="I1209" s="35" t="s">
        <v>2501</v>
      </c>
      <c r="J1209" s="43" t="s">
        <v>5775</v>
      </c>
      <c r="K1209" s="43" t="s">
        <v>2585</v>
      </c>
      <c r="L1209" s="74">
        <v>100000</v>
      </c>
      <c r="M1209" s="30">
        <v>0</v>
      </c>
      <c r="N1209" s="30"/>
      <c r="O1209" s="30">
        <f t="shared" si="20"/>
        <v>100000</v>
      </c>
      <c r="P1209" s="44">
        <v>7.37</v>
      </c>
    </row>
    <row r="1210" spans="2:16" x14ac:dyDescent="0.35">
      <c r="B1210" s="72" t="s">
        <v>5704</v>
      </c>
      <c r="C1210" s="89" t="s">
        <v>5737</v>
      </c>
      <c r="D1210" s="36">
        <v>45507</v>
      </c>
      <c r="E1210" s="36">
        <v>45545</v>
      </c>
      <c r="F1210" s="36">
        <v>46639</v>
      </c>
      <c r="G1210" s="64" t="s">
        <v>6</v>
      </c>
      <c r="H1210" s="72" t="s">
        <v>5759</v>
      </c>
      <c r="I1210" s="35" t="s">
        <v>2501</v>
      </c>
      <c r="J1210" s="43" t="s">
        <v>5775</v>
      </c>
      <c r="K1210" s="43" t="s">
        <v>2583</v>
      </c>
      <c r="L1210" s="74">
        <v>150000</v>
      </c>
      <c r="M1210" s="30">
        <v>0</v>
      </c>
      <c r="N1210" s="30"/>
      <c r="O1210" s="30">
        <f t="shared" si="20"/>
        <v>150000</v>
      </c>
      <c r="P1210" s="44">
        <v>7.37</v>
      </c>
    </row>
    <row r="1211" spans="2:16" x14ac:dyDescent="0.35">
      <c r="B1211" s="72" t="s">
        <v>5705</v>
      </c>
      <c r="C1211" s="89" t="s">
        <v>5738</v>
      </c>
      <c r="D1211" s="36">
        <v>45538</v>
      </c>
      <c r="E1211" s="36">
        <v>45545</v>
      </c>
      <c r="F1211" s="36">
        <v>46639</v>
      </c>
      <c r="G1211" s="64" t="s">
        <v>6</v>
      </c>
      <c r="H1211" s="72" t="s">
        <v>5759</v>
      </c>
      <c r="I1211" s="35" t="s">
        <v>2501</v>
      </c>
      <c r="J1211" s="43" t="s">
        <v>5775</v>
      </c>
      <c r="K1211" s="43" t="s">
        <v>2583</v>
      </c>
      <c r="L1211" s="74">
        <v>112500</v>
      </c>
      <c r="M1211" s="30">
        <v>0</v>
      </c>
      <c r="N1211" s="30"/>
      <c r="O1211" s="30">
        <f t="shared" si="20"/>
        <v>112500</v>
      </c>
      <c r="P1211" s="44">
        <v>7.68</v>
      </c>
    </row>
    <row r="1212" spans="2:16" x14ac:dyDescent="0.35">
      <c r="B1212" s="72" t="s">
        <v>5706</v>
      </c>
      <c r="C1212" s="89" t="s">
        <v>5739</v>
      </c>
      <c r="D1212" s="36">
        <v>45538</v>
      </c>
      <c r="E1212" s="36">
        <v>45545</v>
      </c>
      <c r="F1212" s="36">
        <v>46639</v>
      </c>
      <c r="G1212" s="64" t="s">
        <v>6</v>
      </c>
      <c r="H1212" s="72" t="s">
        <v>5759</v>
      </c>
      <c r="I1212" s="35" t="s">
        <v>2501</v>
      </c>
      <c r="J1212" s="43" t="s">
        <v>5775</v>
      </c>
      <c r="K1212" s="43" t="s">
        <v>2583</v>
      </c>
      <c r="L1212" s="74">
        <v>187500</v>
      </c>
      <c r="M1212" s="30">
        <v>0</v>
      </c>
      <c r="N1212" s="30"/>
      <c r="O1212" s="30">
        <f t="shared" si="20"/>
        <v>187500</v>
      </c>
      <c r="P1212" s="44">
        <v>7.98</v>
      </c>
    </row>
    <row r="1213" spans="2:16" x14ac:dyDescent="0.35">
      <c r="B1213" s="72" t="s">
        <v>5707</v>
      </c>
      <c r="C1213" s="89" t="s">
        <v>5740</v>
      </c>
      <c r="D1213" s="36">
        <v>45476</v>
      </c>
      <c r="E1213" s="36">
        <v>45545</v>
      </c>
      <c r="F1213" s="36">
        <v>46568</v>
      </c>
      <c r="G1213" s="64" t="s">
        <v>6</v>
      </c>
      <c r="H1213" s="72" t="s">
        <v>5759</v>
      </c>
      <c r="I1213" s="35" t="s">
        <v>2501</v>
      </c>
      <c r="J1213" s="43" t="s">
        <v>5775</v>
      </c>
      <c r="K1213" s="43" t="s">
        <v>2583</v>
      </c>
      <c r="L1213" s="74">
        <v>105000</v>
      </c>
      <c r="M1213" s="30">
        <v>0</v>
      </c>
      <c r="N1213" s="30"/>
      <c r="O1213" s="30">
        <f t="shared" si="20"/>
        <v>105000</v>
      </c>
      <c r="P1213" s="44">
        <v>7.37</v>
      </c>
    </row>
    <row r="1214" spans="2:16" x14ac:dyDescent="0.35">
      <c r="B1214" s="72" t="s">
        <v>5708</v>
      </c>
      <c r="C1214" s="89" t="s">
        <v>5741</v>
      </c>
      <c r="D1214" s="36">
        <v>45506</v>
      </c>
      <c r="E1214" s="36">
        <v>45545</v>
      </c>
      <c r="F1214" s="36">
        <v>46639</v>
      </c>
      <c r="G1214" s="64" t="s">
        <v>6</v>
      </c>
      <c r="H1214" s="72" t="s">
        <v>5759</v>
      </c>
      <c r="I1214" s="35" t="s">
        <v>2501</v>
      </c>
      <c r="J1214" s="43" t="s">
        <v>5775</v>
      </c>
      <c r="K1214" s="43" t="s">
        <v>2586</v>
      </c>
      <c r="L1214" s="74">
        <v>208000</v>
      </c>
      <c r="M1214" s="30">
        <v>0</v>
      </c>
      <c r="N1214" s="30"/>
      <c r="O1214" s="30">
        <f t="shared" si="20"/>
        <v>208000</v>
      </c>
      <c r="P1214" s="44">
        <v>7.37</v>
      </c>
    </row>
    <row r="1215" spans="2:16" ht="29" x14ac:dyDescent="0.35">
      <c r="B1215" s="72" t="s">
        <v>5648</v>
      </c>
      <c r="C1215" s="89" t="s">
        <v>5742</v>
      </c>
      <c r="D1215" s="36">
        <v>45505</v>
      </c>
      <c r="E1215" s="36">
        <v>45546</v>
      </c>
      <c r="F1215" s="36">
        <v>45838</v>
      </c>
      <c r="G1215" s="64" t="s">
        <v>6</v>
      </c>
      <c r="H1215" s="72" t="s">
        <v>5760</v>
      </c>
      <c r="I1215" s="35" t="s">
        <v>2492</v>
      </c>
      <c r="J1215" s="43" t="s">
        <v>5776</v>
      </c>
      <c r="K1215" s="72" t="s">
        <v>4704</v>
      </c>
      <c r="L1215" s="73">
        <v>100000</v>
      </c>
      <c r="M1215" s="30">
        <v>0</v>
      </c>
      <c r="N1215" s="30">
        <f>100000</f>
        <v>100000</v>
      </c>
      <c r="O1215" s="30">
        <f t="shared" si="20"/>
        <v>0</v>
      </c>
      <c r="P1215" s="43" t="s">
        <v>5805</v>
      </c>
    </row>
    <row r="1216" spans="2:16" x14ac:dyDescent="0.35">
      <c r="B1216" s="72" t="s">
        <v>5709</v>
      </c>
      <c r="C1216" s="89" t="s">
        <v>5743</v>
      </c>
      <c r="D1216" s="36">
        <v>45505</v>
      </c>
      <c r="E1216" s="36">
        <v>45547</v>
      </c>
      <c r="F1216" s="36">
        <v>45838</v>
      </c>
      <c r="G1216" s="64" t="s">
        <v>6</v>
      </c>
      <c r="H1216" s="72" t="s">
        <v>233</v>
      </c>
      <c r="I1216" s="35" t="s">
        <v>2480</v>
      </c>
      <c r="J1216" s="43" t="s">
        <v>5866</v>
      </c>
      <c r="K1216" s="72" t="s">
        <v>4704</v>
      </c>
      <c r="L1216" s="73">
        <v>440000</v>
      </c>
      <c r="M1216" s="30">
        <v>0</v>
      </c>
      <c r="N1216" s="30">
        <f>69694.6+55310.75+69202.05+39512.17+17990.82+48179.85+28816.51+14026.28</f>
        <v>342733.03</v>
      </c>
      <c r="O1216" s="30">
        <f t="shared" si="20"/>
        <v>97266.969999999972</v>
      </c>
      <c r="P1216" s="43" t="s">
        <v>5866</v>
      </c>
    </row>
    <row r="1217" spans="2:16" x14ac:dyDescent="0.35">
      <c r="B1217" s="72" t="s">
        <v>5687</v>
      </c>
      <c r="C1217" s="89" t="s">
        <v>5744</v>
      </c>
      <c r="D1217" s="36">
        <v>45505</v>
      </c>
      <c r="E1217" s="36">
        <v>45548</v>
      </c>
      <c r="F1217" s="36">
        <v>45657</v>
      </c>
      <c r="G1217" s="64" t="s">
        <v>6</v>
      </c>
      <c r="H1217" s="72" t="s">
        <v>3682</v>
      </c>
      <c r="I1217" s="35" t="s">
        <v>2485</v>
      </c>
      <c r="J1217" s="43" t="s">
        <v>5768</v>
      </c>
      <c r="K1217" s="43" t="s">
        <v>2573</v>
      </c>
      <c r="L1217" s="73">
        <v>1440</v>
      </c>
      <c r="M1217" s="30">
        <v>0</v>
      </c>
      <c r="N1217" s="30">
        <f>1440</f>
        <v>1440</v>
      </c>
      <c r="O1217" s="30">
        <f t="shared" si="20"/>
        <v>0</v>
      </c>
      <c r="P1217" s="43" t="s">
        <v>2874</v>
      </c>
    </row>
    <row r="1218" spans="2:16" x14ac:dyDescent="0.35">
      <c r="B1218" s="89" t="s">
        <v>5710</v>
      </c>
      <c r="C1218" s="89" t="s">
        <v>5745</v>
      </c>
      <c r="D1218" s="36">
        <v>45505</v>
      </c>
      <c r="E1218" s="36">
        <v>45548</v>
      </c>
      <c r="F1218" s="36">
        <v>45657</v>
      </c>
      <c r="G1218" s="64" t="s">
        <v>6</v>
      </c>
      <c r="H1218" s="72" t="s">
        <v>5761</v>
      </c>
      <c r="I1218" s="35" t="s">
        <v>2480</v>
      </c>
      <c r="J1218" s="43" t="s">
        <v>2706</v>
      </c>
      <c r="K1218" s="72" t="s">
        <v>5558</v>
      </c>
      <c r="L1218" s="73">
        <v>15000</v>
      </c>
      <c r="M1218" s="30">
        <v>0</v>
      </c>
      <c r="N1218" s="30"/>
      <c r="O1218" s="30">
        <f t="shared" si="20"/>
        <v>15000</v>
      </c>
      <c r="P1218" s="43"/>
    </row>
    <row r="1219" spans="2:16" x14ac:dyDescent="0.35">
      <c r="B1219" s="72" t="s">
        <v>5687</v>
      </c>
      <c r="C1219" s="89" t="s">
        <v>5746</v>
      </c>
      <c r="D1219" s="36">
        <v>45505</v>
      </c>
      <c r="E1219" s="36">
        <v>45552</v>
      </c>
      <c r="F1219" s="36">
        <v>45657</v>
      </c>
      <c r="G1219" s="64" t="s">
        <v>6</v>
      </c>
      <c r="H1219" s="72" t="s">
        <v>3601</v>
      </c>
      <c r="I1219" s="35" t="s">
        <v>2503</v>
      </c>
      <c r="J1219" s="43" t="s">
        <v>5768</v>
      </c>
      <c r="K1219" s="43" t="s">
        <v>2573</v>
      </c>
      <c r="L1219" s="73">
        <v>1440</v>
      </c>
      <c r="M1219" s="30">
        <v>0</v>
      </c>
      <c r="N1219" s="30">
        <f>1440</f>
        <v>1440</v>
      </c>
      <c r="O1219" s="30">
        <f t="shared" si="20"/>
        <v>0</v>
      </c>
      <c r="P1219" s="43"/>
    </row>
    <row r="1220" spans="2:16" x14ac:dyDescent="0.35">
      <c r="B1220" s="72" t="s">
        <v>5687</v>
      </c>
      <c r="C1220" s="89" t="s">
        <v>5747</v>
      </c>
      <c r="D1220" s="36">
        <v>45505</v>
      </c>
      <c r="E1220" s="36">
        <v>45553</v>
      </c>
      <c r="F1220" s="36">
        <v>45657</v>
      </c>
      <c r="G1220" s="64" t="s">
        <v>6</v>
      </c>
      <c r="H1220" s="72" t="s">
        <v>5762</v>
      </c>
      <c r="I1220" s="35" t="s">
        <v>2480</v>
      </c>
      <c r="J1220" s="43" t="s">
        <v>5768</v>
      </c>
      <c r="K1220" s="43" t="s">
        <v>2573</v>
      </c>
      <c r="L1220" s="73">
        <v>1440</v>
      </c>
      <c r="M1220" s="30">
        <v>0</v>
      </c>
      <c r="N1220" s="30">
        <f>1440</f>
        <v>1440</v>
      </c>
      <c r="O1220" s="30">
        <f t="shared" si="20"/>
        <v>0</v>
      </c>
      <c r="P1220" s="43"/>
    </row>
    <row r="1221" spans="2:16" x14ac:dyDescent="0.35">
      <c r="B1221" s="72" t="s">
        <v>5687</v>
      </c>
      <c r="C1221" s="89" t="s">
        <v>5748</v>
      </c>
      <c r="D1221" s="36">
        <v>45505</v>
      </c>
      <c r="E1221" s="36">
        <v>45554</v>
      </c>
      <c r="F1221" s="36">
        <v>45657</v>
      </c>
      <c r="G1221" s="64" t="s">
        <v>6</v>
      </c>
      <c r="H1221" s="72" t="s">
        <v>3605</v>
      </c>
      <c r="I1221" s="35" t="s">
        <v>2477</v>
      </c>
      <c r="J1221" s="43" t="s">
        <v>5768</v>
      </c>
      <c r="K1221" s="43" t="s">
        <v>2573</v>
      </c>
      <c r="L1221" s="73">
        <v>1440</v>
      </c>
      <c r="M1221" s="30">
        <v>0</v>
      </c>
      <c r="N1221" s="30">
        <f>1440</f>
        <v>1440</v>
      </c>
      <c r="O1221" s="30">
        <f t="shared" si="20"/>
        <v>0</v>
      </c>
      <c r="P1221" s="43"/>
    </row>
    <row r="1222" spans="2:16" x14ac:dyDescent="0.35">
      <c r="B1222" s="72" t="s">
        <v>5687</v>
      </c>
      <c r="C1222" s="89" t="s">
        <v>5750</v>
      </c>
      <c r="D1222" s="36">
        <v>45505</v>
      </c>
      <c r="E1222" s="36">
        <v>45558</v>
      </c>
      <c r="F1222" s="36">
        <v>45657</v>
      </c>
      <c r="G1222" s="64" t="s">
        <v>6</v>
      </c>
      <c r="H1222" s="72" t="s">
        <v>5763</v>
      </c>
      <c r="I1222" s="35" t="s">
        <v>2503</v>
      </c>
      <c r="J1222" s="43" t="s">
        <v>5768</v>
      </c>
      <c r="K1222" s="43" t="s">
        <v>2573</v>
      </c>
      <c r="L1222" s="73">
        <v>1440</v>
      </c>
      <c r="M1222" s="30">
        <v>0</v>
      </c>
      <c r="N1222" s="30">
        <f>1440</f>
        <v>1440</v>
      </c>
      <c r="O1222" s="30">
        <f t="shared" si="20"/>
        <v>0</v>
      </c>
      <c r="P1222" s="43"/>
    </row>
    <row r="1223" spans="2:16" ht="29" x14ac:dyDescent="0.35">
      <c r="B1223" s="72" t="s">
        <v>5711</v>
      </c>
      <c r="C1223" s="89" t="s">
        <v>5751</v>
      </c>
      <c r="D1223" s="36">
        <v>45553</v>
      </c>
      <c r="E1223" s="36">
        <v>45558</v>
      </c>
      <c r="F1223" s="36">
        <v>47383</v>
      </c>
      <c r="G1223" s="64" t="s">
        <v>6</v>
      </c>
      <c r="H1223" s="72" t="s">
        <v>5764</v>
      </c>
      <c r="I1223" s="35" t="s">
        <v>2479</v>
      </c>
      <c r="J1223" s="43" t="s">
        <v>5777</v>
      </c>
      <c r="K1223" s="43" t="s">
        <v>2585</v>
      </c>
      <c r="L1223" s="73">
        <v>3000000</v>
      </c>
      <c r="M1223" s="30">
        <v>0</v>
      </c>
      <c r="N1223" s="30"/>
      <c r="O1223" s="30">
        <f t="shared" si="20"/>
        <v>3000000</v>
      </c>
      <c r="P1223" s="44" t="s">
        <v>5800</v>
      </c>
    </row>
    <row r="1224" spans="2:16" ht="29" x14ac:dyDescent="0.35">
      <c r="B1224" s="72" t="s">
        <v>5712</v>
      </c>
      <c r="C1224" s="89" t="s">
        <v>5752</v>
      </c>
      <c r="D1224" s="36">
        <v>45553</v>
      </c>
      <c r="E1224" s="36">
        <v>45558</v>
      </c>
      <c r="F1224" s="36">
        <v>47383</v>
      </c>
      <c r="G1224" s="64" t="s">
        <v>6</v>
      </c>
      <c r="H1224" s="72" t="s">
        <v>5764</v>
      </c>
      <c r="I1224" s="35" t="s">
        <v>2479</v>
      </c>
      <c r="J1224" s="43" t="s">
        <v>5766</v>
      </c>
      <c r="K1224" s="43" t="s">
        <v>2586</v>
      </c>
      <c r="L1224" s="73">
        <v>3000000</v>
      </c>
      <c r="M1224" s="30">
        <v>0</v>
      </c>
      <c r="N1224" s="30"/>
      <c r="O1224" s="30">
        <f t="shared" si="20"/>
        <v>3000000</v>
      </c>
      <c r="P1224" s="44">
        <v>1.43</v>
      </c>
    </row>
    <row r="1225" spans="2:16" ht="29" x14ac:dyDescent="0.35">
      <c r="B1225" s="72" t="s">
        <v>5713</v>
      </c>
      <c r="C1225" s="89" t="s">
        <v>5753</v>
      </c>
      <c r="D1225" s="56">
        <v>45553</v>
      </c>
      <c r="E1225" s="36">
        <v>45558</v>
      </c>
      <c r="F1225" s="36">
        <v>47383</v>
      </c>
      <c r="G1225" s="64" t="s">
        <v>6</v>
      </c>
      <c r="H1225" s="72" t="s">
        <v>5764</v>
      </c>
      <c r="I1225" s="35" t="s">
        <v>2479</v>
      </c>
      <c r="J1225" s="43" t="s">
        <v>5777</v>
      </c>
      <c r="K1225" s="43" t="s">
        <v>2585</v>
      </c>
      <c r="L1225" s="73">
        <v>10500000</v>
      </c>
      <c r="M1225" s="30">
        <v>0</v>
      </c>
      <c r="N1225" s="30"/>
      <c r="O1225" s="30">
        <f t="shared" si="20"/>
        <v>10500000</v>
      </c>
      <c r="P1225" s="44">
        <v>1.43</v>
      </c>
    </row>
    <row r="1226" spans="2:16" x14ac:dyDescent="0.35">
      <c r="B1226" s="89" t="s">
        <v>5710</v>
      </c>
      <c r="C1226" s="89" t="s">
        <v>5754</v>
      </c>
      <c r="D1226" s="36">
        <v>45505</v>
      </c>
      <c r="E1226" s="36">
        <v>45559</v>
      </c>
      <c r="F1226" s="36">
        <v>45657</v>
      </c>
      <c r="G1226" s="64" t="s">
        <v>6</v>
      </c>
      <c r="H1226" s="72" t="s">
        <v>5765</v>
      </c>
      <c r="I1226" s="35" t="s">
        <v>2816</v>
      </c>
      <c r="J1226" s="43" t="s">
        <v>5778</v>
      </c>
      <c r="K1226" s="72" t="s">
        <v>5558</v>
      </c>
      <c r="L1226" s="73">
        <v>5000</v>
      </c>
      <c r="M1226" s="30">
        <v>0</v>
      </c>
      <c r="N1226" s="30">
        <f>5000</f>
        <v>5000</v>
      </c>
      <c r="O1226" s="30">
        <f t="shared" si="20"/>
        <v>0</v>
      </c>
      <c r="P1226" s="43"/>
    </row>
    <row r="1227" spans="2:16" x14ac:dyDescent="0.35">
      <c r="B1227" s="76" t="s">
        <v>5779</v>
      </c>
      <c r="C1227" s="98" t="s">
        <v>5780</v>
      </c>
      <c r="D1227" s="36">
        <v>45473</v>
      </c>
      <c r="E1227" s="36">
        <v>45460</v>
      </c>
      <c r="F1227" s="36">
        <v>45784</v>
      </c>
      <c r="G1227" s="64" t="s">
        <v>6</v>
      </c>
      <c r="H1227" s="43" t="s">
        <v>2811</v>
      </c>
      <c r="I1227" s="35" t="s">
        <v>2485</v>
      </c>
      <c r="J1227" s="43" t="s">
        <v>5275</v>
      </c>
      <c r="K1227" s="43" t="s">
        <v>2581</v>
      </c>
      <c r="L1227" s="30">
        <v>13026</v>
      </c>
      <c r="M1227" s="30">
        <v>0</v>
      </c>
      <c r="N1227" s="30">
        <v>13026</v>
      </c>
      <c r="O1227" s="30">
        <f t="shared" si="20"/>
        <v>0</v>
      </c>
      <c r="P1227" s="43" t="s">
        <v>2874</v>
      </c>
    </row>
    <row r="1228" spans="2:16" ht="29" x14ac:dyDescent="0.35">
      <c r="B1228" s="76" t="s">
        <v>4089</v>
      </c>
      <c r="C1228" s="98" t="s">
        <v>5786</v>
      </c>
      <c r="D1228" s="36">
        <v>45274</v>
      </c>
      <c r="E1228" s="36">
        <v>45274</v>
      </c>
      <c r="F1228" s="36">
        <v>45473</v>
      </c>
      <c r="G1228" s="64" t="s">
        <v>6</v>
      </c>
      <c r="H1228" s="43" t="s">
        <v>3868</v>
      </c>
      <c r="I1228" s="35" t="s">
        <v>2529</v>
      </c>
      <c r="J1228" s="43" t="s">
        <v>5803</v>
      </c>
      <c r="K1228" s="43" t="s">
        <v>2573</v>
      </c>
      <c r="L1228" s="30">
        <v>4260</v>
      </c>
      <c r="M1228" s="30">
        <v>0</v>
      </c>
      <c r="N1228" s="30">
        <v>4260</v>
      </c>
      <c r="O1228" s="30">
        <f t="shared" si="20"/>
        <v>0</v>
      </c>
      <c r="P1228" s="43" t="s">
        <v>5787</v>
      </c>
    </row>
    <row r="1229" spans="2:16" ht="29" x14ac:dyDescent="0.35">
      <c r="B1229" s="35" t="s">
        <v>5087</v>
      </c>
      <c r="C1229" s="80" t="s">
        <v>5781</v>
      </c>
      <c r="D1229" s="36">
        <v>45467</v>
      </c>
      <c r="E1229" s="36">
        <v>45467</v>
      </c>
      <c r="F1229" s="36">
        <v>45473</v>
      </c>
      <c r="G1229" s="64" t="s">
        <v>6</v>
      </c>
      <c r="H1229" s="43" t="s">
        <v>5782</v>
      </c>
      <c r="I1229" s="35" t="s">
        <v>2492</v>
      </c>
      <c r="J1229" s="43" t="s">
        <v>5783</v>
      </c>
      <c r="K1229" s="43" t="s">
        <v>5784</v>
      </c>
      <c r="L1229" s="30">
        <v>106000</v>
      </c>
      <c r="M1229" s="30">
        <v>0</v>
      </c>
      <c r="N1229" s="30">
        <v>106000</v>
      </c>
      <c r="O1229" s="30">
        <f t="shared" si="20"/>
        <v>0</v>
      </c>
      <c r="P1229" s="43" t="s">
        <v>5785</v>
      </c>
    </row>
    <row r="1230" spans="2:16" x14ac:dyDescent="0.35">
      <c r="B1230" s="76" t="s">
        <v>5788</v>
      </c>
      <c r="C1230" s="98" t="s">
        <v>5789</v>
      </c>
      <c r="D1230" s="36">
        <v>45505</v>
      </c>
      <c r="E1230" s="36">
        <v>45527</v>
      </c>
      <c r="F1230" s="36">
        <v>45657</v>
      </c>
      <c r="G1230" s="64" t="s">
        <v>6</v>
      </c>
      <c r="H1230" s="43" t="s">
        <v>6042</v>
      </c>
      <c r="I1230" s="35" t="s">
        <v>2480</v>
      </c>
      <c r="J1230" s="43" t="s">
        <v>5802</v>
      </c>
      <c r="K1230" s="43" t="s">
        <v>4704</v>
      </c>
      <c r="L1230" s="30">
        <v>15000</v>
      </c>
      <c r="M1230" s="30">
        <v>0</v>
      </c>
      <c r="N1230" s="30">
        <v>15000</v>
      </c>
      <c r="O1230" s="30">
        <f t="shared" si="20"/>
        <v>0</v>
      </c>
      <c r="P1230" s="43" t="s">
        <v>5790</v>
      </c>
    </row>
    <row r="1231" spans="2:16" x14ac:dyDescent="0.35">
      <c r="B1231" s="35" t="s">
        <v>5791</v>
      </c>
      <c r="C1231" s="80" t="s">
        <v>5792</v>
      </c>
      <c r="D1231" s="36">
        <v>45532</v>
      </c>
      <c r="E1231" s="36">
        <v>45532</v>
      </c>
      <c r="F1231" s="36">
        <v>46568</v>
      </c>
      <c r="G1231" s="64" t="s">
        <v>6</v>
      </c>
      <c r="H1231" s="43" t="s">
        <v>6345</v>
      </c>
      <c r="I1231" s="35" t="s">
        <v>2485</v>
      </c>
      <c r="J1231" s="43" t="s">
        <v>5793</v>
      </c>
      <c r="K1231" s="43" t="s">
        <v>2583</v>
      </c>
      <c r="L1231" s="30">
        <v>6000</v>
      </c>
      <c r="M1231" s="30">
        <v>0</v>
      </c>
      <c r="N1231" s="30"/>
      <c r="O1231" s="30">
        <f t="shared" si="20"/>
        <v>6000</v>
      </c>
      <c r="P1231" s="44">
        <v>2.87</v>
      </c>
    </row>
    <row r="1232" spans="2:16" x14ac:dyDescent="0.35">
      <c r="B1232" s="35" t="s">
        <v>5794</v>
      </c>
      <c r="C1232" s="80" t="s">
        <v>5795</v>
      </c>
      <c r="D1232" s="36">
        <v>45532</v>
      </c>
      <c r="E1232" s="36">
        <v>45532</v>
      </c>
      <c r="F1232" s="36">
        <v>47299</v>
      </c>
      <c r="G1232" s="64" t="s">
        <v>6</v>
      </c>
      <c r="H1232" s="43" t="s">
        <v>6345</v>
      </c>
      <c r="I1232" s="35" t="s">
        <v>2485</v>
      </c>
      <c r="J1232" s="43" t="s">
        <v>5766</v>
      </c>
      <c r="K1232" s="43" t="s">
        <v>2586</v>
      </c>
      <c r="L1232" s="30">
        <v>53457</v>
      </c>
      <c r="M1232" s="30">
        <v>0</v>
      </c>
      <c r="N1232" s="30">
        <f>21853.87</f>
        <v>21853.87</v>
      </c>
      <c r="O1232" s="30">
        <f t="shared" si="20"/>
        <v>31603.13</v>
      </c>
      <c r="P1232" s="44">
        <v>2.87</v>
      </c>
    </row>
    <row r="1233" spans="2:16" x14ac:dyDescent="0.35">
      <c r="B1233" s="76" t="s">
        <v>5687</v>
      </c>
      <c r="C1233" s="98" t="s">
        <v>5797</v>
      </c>
      <c r="D1233" s="36">
        <v>45532</v>
      </c>
      <c r="E1233" s="36">
        <v>45541</v>
      </c>
      <c r="F1233" s="36">
        <v>45657</v>
      </c>
      <c r="G1233" s="64" t="s">
        <v>6</v>
      </c>
      <c r="H1233" s="43" t="s">
        <v>4300</v>
      </c>
      <c r="I1233" s="35" t="s">
        <v>2476</v>
      </c>
      <c r="J1233" s="43" t="s">
        <v>5768</v>
      </c>
      <c r="K1233" s="43" t="s">
        <v>2573</v>
      </c>
      <c r="L1233" s="30">
        <v>1440</v>
      </c>
      <c r="M1233" s="30">
        <v>0</v>
      </c>
      <c r="N1233" s="30">
        <v>1440</v>
      </c>
      <c r="O1233" s="30">
        <f t="shared" si="20"/>
        <v>0</v>
      </c>
      <c r="P1233" s="43" t="s">
        <v>4552</v>
      </c>
    </row>
    <row r="1234" spans="2:16" x14ac:dyDescent="0.35">
      <c r="B1234" s="76" t="s">
        <v>5687</v>
      </c>
      <c r="C1234" s="98" t="s">
        <v>5798</v>
      </c>
      <c r="D1234" s="36">
        <v>45505</v>
      </c>
      <c r="E1234" s="36">
        <v>45534</v>
      </c>
      <c r="F1234" s="36">
        <v>45657</v>
      </c>
      <c r="G1234" s="64" t="s">
        <v>6</v>
      </c>
      <c r="H1234" s="43" t="s">
        <v>6037</v>
      </c>
      <c r="I1234" s="35" t="s">
        <v>2474</v>
      </c>
      <c r="J1234" s="43" t="s">
        <v>5768</v>
      </c>
      <c r="K1234" s="43" t="s">
        <v>2573</v>
      </c>
      <c r="L1234" s="30">
        <v>1440</v>
      </c>
      <c r="M1234" s="30">
        <v>0</v>
      </c>
      <c r="N1234" s="30">
        <f>1440</f>
        <v>1440</v>
      </c>
      <c r="O1234" s="30">
        <f t="shared" si="20"/>
        <v>0</v>
      </c>
      <c r="P1234" s="43" t="s">
        <v>4552</v>
      </c>
    </row>
    <row r="1235" spans="2:16" x14ac:dyDescent="0.35">
      <c r="B1235" s="76" t="s">
        <v>5687</v>
      </c>
      <c r="C1235" s="98" t="s">
        <v>5799</v>
      </c>
      <c r="D1235" s="36">
        <v>45505</v>
      </c>
      <c r="E1235" s="36">
        <v>45534</v>
      </c>
      <c r="F1235" s="36">
        <v>45657</v>
      </c>
      <c r="G1235" s="64" t="s">
        <v>6</v>
      </c>
      <c r="H1235" s="43" t="s">
        <v>6039</v>
      </c>
      <c r="I1235" s="35" t="s">
        <v>2490</v>
      </c>
      <c r="J1235" s="43" t="s">
        <v>5768</v>
      </c>
      <c r="K1235" s="43" t="s">
        <v>2573</v>
      </c>
      <c r="L1235" s="30">
        <v>1440</v>
      </c>
      <c r="M1235" s="30">
        <v>0</v>
      </c>
      <c r="N1235" s="30">
        <v>1440</v>
      </c>
      <c r="O1235" s="30">
        <f t="shared" si="20"/>
        <v>0</v>
      </c>
      <c r="P1235" s="43" t="s">
        <v>4552</v>
      </c>
    </row>
    <row r="1236" spans="2:16" ht="15.5" x14ac:dyDescent="0.35">
      <c r="B1236" s="79" t="s">
        <v>5808</v>
      </c>
      <c r="C1236" s="97" t="s">
        <v>5809</v>
      </c>
      <c r="D1236" s="36">
        <v>45538</v>
      </c>
      <c r="E1236" s="36">
        <v>45559</v>
      </c>
      <c r="F1236" s="36">
        <v>45747</v>
      </c>
      <c r="G1236" s="64" t="s">
        <v>6</v>
      </c>
      <c r="H1236" s="43" t="s">
        <v>5846</v>
      </c>
      <c r="I1236" s="35" t="s">
        <v>2480</v>
      </c>
      <c r="J1236" s="43" t="s">
        <v>5076</v>
      </c>
      <c r="K1236" s="43" t="s">
        <v>5076</v>
      </c>
      <c r="L1236" s="30">
        <v>34000</v>
      </c>
      <c r="M1236" s="30"/>
      <c r="N1236" s="30"/>
      <c r="O1236" s="30">
        <f t="shared" si="20"/>
        <v>34000</v>
      </c>
      <c r="P1236" s="44">
        <v>6.93</v>
      </c>
    </row>
    <row r="1237" spans="2:16" ht="15.5" x14ac:dyDescent="0.35">
      <c r="B1237" s="79" t="s">
        <v>5810</v>
      </c>
      <c r="C1237" s="97" t="s">
        <v>5811</v>
      </c>
      <c r="D1237" s="36">
        <v>45483</v>
      </c>
      <c r="E1237" s="36">
        <v>45559</v>
      </c>
      <c r="F1237" s="36">
        <v>47384</v>
      </c>
      <c r="G1237" s="64" t="s">
        <v>6</v>
      </c>
      <c r="H1237" s="43" t="s">
        <v>5846</v>
      </c>
      <c r="I1237" s="35" t="s">
        <v>2480</v>
      </c>
      <c r="J1237" s="43" t="s">
        <v>5766</v>
      </c>
      <c r="K1237" s="43" t="s">
        <v>2586</v>
      </c>
      <c r="L1237" s="30">
        <v>184500</v>
      </c>
      <c r="M1237" s="30"/>
      <c r="N1237" s="30"/>
      <c r="O1237" s="30">
        <f t="shared" si="20"/>
        <v>184500</v>
      </c>
      <c r="P1237" s="44">
        <v>6.93</v>
      </c>
    </row>
    <row r="1238" spans="2:16" ht="15.5" x14ac:dyDescent="0.35">
      <c r="B1238" s="79" t="s">
        <v>5648</v>
      </c>
      <c r="C1238" s="97" t="s">
        <v>5812</v>
      </c>
      <c r="D1238" s="36">
        <v>45505</v>
      </c>
      <c r="E1238" s="36">
        <v>45566</v>
      </c>
      <c r="F1238" s="36">
        <v>45611</v>
      </c>
      <c r="G1238" s="64" t="s">
        <v>6</v>
      </c>
      <c r="H1238" s="43" t="s">
        <v>6047</v>
      </c>
      <c r="I1238" s="35" t="s">
        <v>2480</v>
      </c>
      <c r="J1238" s="43" t="s">
        <v>6048</v>
      </c>
      <c r="K1238" s="43" t="s">
        <v>4704</v>
      </c>
      <c r="L1238" s="30">
        <v>10000</v>
      </c>
      <c r="M1238" s="30"/>
      <c r="N1238" s="30">
        <v>10000</v>
      </c>
      <c r="O1238" s="30">
        <f t="shared" ref="O1238:O1294" si="21">L1238-M1238-N1238</f>
        <v>0</v>
      </c>
      <c r="P1238" s="43" t="s">
        <v>4704</v>
      </c>
    </row>
    <row r="1239" spans="2:16" ht="15.5" x14ac:dyDescent="0.35">
      <c r="B1239" s="90" t="s">
        <v>5710</v>
      </c>
      <c r="C1239" s="97" t="s">
        <v>5813</v>
      </c>
      <c r="D1239" s="36">
        <v>45505</v>
      </c>
      <c r="E1239" s="36">
        <v>45569</v>
      </c>
      <c r="F1239" s="36">
        <v>45657</v>
      </c>
      <c r="G1239" s="64" t="s">
        <v>6</v>
      </c>
      <c r="H1239" s="43" t="s">
        <v>4844</v>
      </c>
      <c r="I1239" s="35" t="s">
        <v>2480</v>
      </c>
      <c r="J1239" s="43" t="s">
        <v>4704</v>
      </c>
      <c r="K1239" s="43" t="s">
        <v>4704</v>
      </c>
      <c r="L1239" s="30">
        <v>15000</v>
      </c>
      <c r="M1239" s="30"/>
      <c r="N1239" s="30">
        <v>7500</v>
      </c>
      <c r="O1239" s="30">
        <f t="shared" si="21"/>
        <v>7500</v>
      </c>
      <c r="P1239" s="43" t="s">
        <v>4704</v>
      </c>
    </row>
    <row r="1240" spans="2:16" ht="15.5" x14ac:dyDescent="0.35">
      <c r="B1240" s="90" t="s">
        <v>5710</v>
      </c>
      <c r="C1240" s="97" t="s">
        <v>5814</v>
      </c>
      <c r="D1240" s="36">
        <v>45505</v>
      </c>
      <c r="E1240" s="36">
        <v>45569</v>
      </c>
      <c r="F1240" s="36">
        <v>45657</v>
      </c>
      <c r="G1240" s="64" t="s">
        <v>6</v>
      </c>
      <c r="H1240" s="43" t="s">
        <v>6120</v>
      </c>
      <c r="I1240" s="35" t="s">
        <v>2484</v>
      </c>
      <c r="J1240" s="43" t="s">
        <v>4704</v>
      </c>
      <c r="K1240" s="43" t="s">
        <v>4704</v>
      </c>
      <c r="L1240" s="30">
        <v>7000</v>
      </c>
      <c r="M1240" s="30"/>
      <c r="N1240" s="30"/>
      <c r="O1240" s="30">
        <f t="shared" si="21"/>
        <v>7000</v>
      </c>
      <c r="P1240" s="43" t="s">
        <v>4704</v>
      </c>
    </row>
    <row r="1241" spans="2:16" ht="29" x14ac:dyDescent="0.35">
      <c r="B1241" s="79" t="s">
        <v>5815</v>
      </c>
      <c r="C1241" s="97" t="s">
        <v>5816</v>
      </c>
      <c r="D1241" s="36">
        <v>45553</v>
      </c>
      <c r="E1241" s="36">
        <v>45572</v>
      </c>
      <c r="F1241" s="36">
        <v>47032</v>
      </c>
      <c r="G1241" s="64" t="s">
        <v>6</v>
      </c>
      <c r="H1241" s="43" t="s">
        <v>6121</v>
      </c>
      <c r="I1241" s="35" t="s">
        <v>2479</v>
      </c>
      <c r="J1241" s="43" t="s">
        <v>5793</v>
      </c>
      <c r="K1241" s="43" t="s">
        <v>2583</v>
      </c>
      <c r="L1241" s="30">
        <v>356250</v>
      </c>
      <c r="M1241" s="30">
        <v>0</v>
      </c>
      <c r="N1241" s="30">
        <f>71250</f>
        <v>71250</v>
      </c>
      <c r="O1241" s="30">
        <f t="shared" si="21"/>
        <v>285000</v>
      </c>
      <c r="P1241" s="44">
        <v>1.43</v>
      </c>
    </row>
    <row r="1242" spans="2:16" ht="15.5" x14ac:dyDescent="0.35">
      <c r="B1242" s="90" t="s">
        <v>5710</v>
      </c>
      <c r="C1242" s="97" t="s">
        <v>5821</v>
      </c>
      <c r="D1242" s="36">
        <v>45505</v>
      </c>
      <c r="E1242" s="36">
        <v>45581</v>
      </c>
      <c r="F1242" s="36">
        <v>45657</v>
      </c>
      <c r="G1242" s="64" t="s">
        <v>6</v>
      </c>
      <c r="H1242" s="43" t="s">
        <v>5848</v>
      </c>
      <c r="I1242" s="35" t="s">
        <v>2480</v>
      </c>
      <c r="J1242" s="43" t="s">
        <v>6688</v>
      </c>
      <c r="K1242" s="43" t="s">
        <v>4704</v>
      </c>
      <c r="L1242" s="30">
        <v>5000</v>
      </c>
      <c r="M1242" s="30"/>
      <c r="N1242" s="30">
        <f>3340</f>
        <v>3340</v>
      </c>
      <c r="O1242" s="30">
        <f t="shared" si="21"/>
        <v>1660</v>
      </c>
      <c r="P1242" s="43" t="s">
        <v>4704</v>
      </c>
    </row>
    <row r="1243" spans="2:16" ht="15.5" x14ac:dyDescent="0.35">
      <c r="B1243" s="79" t="s">
        <v>5823</v>
      </c>
      <c r="C1243" s="97" t="s">
        <v>5824</v>
      </c>
      <c r="D1243" s="36">
        <v>45573</v>
      </c>
      <c r="E1243" s="36">
        <v>45582</v>
      </c>
      <c r="F1243" s="36">
        <v>45946</v>
      </c>
      <c r="G1243" s="64" t="s">
        <v>6</v>
      </c>
      <c r="H1243" s="43" t="s">
        <v>6122</v>
      </c>
      <c r="I1243" s="35" t="s">
        <v>2543</v>
      </c>
      <c r="J1243" s="43" t="s">
        <v>5766</v>
      </c>
      <c r="K1243" s="43" t="s">
        <v>5847</v>
      </c>
      <c r="L1243" s="30">
        <v>16500</v>
      </c>
      <c r="M1243" s="30"/>
      <c r="N1243" s="30"/>
      <c r="O1243" s="30">
        <f t="shared" si="21"/>
        <v>16500</v>
      </c>
      <c r="P1243" s="44">
        <v>16</v>
      </c>
    </row>
    <row r="1244" spans="2:16" ht="15.5" x14ac:dyDescent="0.35">
      <c r="B1244" s="90" t="s">
        <v>5710</v>
      </c>
      <c r="C1244" s="97" t="s">
        <v>5825</v>
      </c>
      <c r="D1244" s="36">
        <v>45505</v>
      </c>
      <c r="E1244" s="36">
        <v>45582</v>
      </c>
      <c r="F1244" s="36">
        <v>45657</v>
      </c>
      <c r="G1244" s="64" t="s">
        <v>6</v>
      </c>
      <c r="H1244" s="43" t="s">
        <v>6123</v>
      </c>
      <c r="I1244" s="35" t="s">
        <v>2480</v>
      </c>
      <c r="J1244" s="43" t="s">
        <v>4704</v>
      </c>
      <c r="K1244" s="43" t="s">
        <v>4704</v>
      </c>
      <c r="L1244" s="30">
        <v>5000</v>
      </c>
      <c r="M1244" s="30"/>
      <c r="N1244" s="30">
        <f>5000</f>
        <v>5000</v>
      </c>
      <c r="O1244" s="30">
        <f t="shared" si="21"/>
        <v>0</v>
      </c>
      <c r="P1244" s="43" t="s">
        <v>4704</v>
      </c>
    </row>
    <row r="1245" spans="2:16" ht="15.5" x14ac:dyDescent="0.35">
      <c r="B1245" s="79" t="s">
        <v>5827</v>
      </c>
      <c r="C1245" s="97" t="s">
        <v>5828</v>
      </c>
      <c r="D1245" s="36">
        <v>45574</v>
      </c>
      <c r="E1245" s="36">
        <v>45587</v>
      </c>
      <c r="F1245" s="36">
        <v>45962</v>
      </c>
      <c r="G1245" s="64" t="s">
        <v>6</v>
      </c>
      <c r="H1245" s="43" t="s">
        <v>6124</v>
      </c>
      <c r="I1245" s="35" t="s">
        <v>5770</v>
      </c>
      <c r="J1245" s="43" t="s">
        <v>5076</v>
      </c>
      <c r="K1245" s="43" t="s">
        <v>5076</v>
      </c>
      <c r="L1245" s="30">
        <v>13865</v>
      </c>
      <c r="M1245" s="30"/>
      <c r="N1245" s="30"/>
      <c r="O1245" s="30">
        <f t="shared" si="21"/>
        <v>13865</v>
      </c>
      <c r="P1245" s="44">
        <v>3.18</v>
      </c>
    </row>
    <row r="1246" spans="2:16" ht="15.5" x14ac:dyDescent="0.35">
      <c r="B1246" s="79" t="s">
        <v>5829</v>
      </c>
      <c r="C1246" s="97" t="s">
        <v>5830</v>
      </c>
      <c r="D1246" s="36">
        <v>45574</v>
      </c>
      <c r="E1246" s="36">
        <v>45587</v>
      </c>
      <c r="F1246" s="36">
        <v>46681</v>
      </c>
      <c r="G1246" s="64" t="s">
        <v>6</v>
      </c>
      <c r="H1246" s="43" t="s">
        <v>6125</v>
      </c>
      <c r="I1246" s="35" t="s">
        <v>2515</v>
      </c>
      <c r="J1246" s="43" t="s">
        <v>5793</v>
      </c>
      <c r="K1246" s="43" t="s">
        <v>2583</v>
      </c>
      <c r="L1246" s="30">
        <v>9000</v>
      </c>
      <c r="M1246" s="30"/>
      <c r="N1246" s="30"/>
      <c r="O1246" s="30">
        <f t="shared" si="21"/>
        <v>9000</v>
      </c>
      <c r="P1246" s="44">
        <v>1.71</v>
      </c>
    </row>
    <row r="1247" spans="2:16" ht="29" x14ac:dyDescent="0.35">
      <c r="B1247" s="79" t="s">
        <v>5831</v>
      </c>
      <c r="C1247" s="97" t="s">
        <v>5832</v>
      </c>
      <c r="D1247" s="36">
        <v>45505</v>
      </c>
      <c r="E1247" s="36">
        <v>45588</v>
      </c>
      <c r="F1247" s="36">
        <v>46682</v>
      </c>
      <c r="G1247" s="64" t="s">
        <v>6</v>
      </c>
      <c r="H1247" s="43" t="s">
        <v>6126</v>
      </c>
      <c r="I1247" s="35" t="s">
        <v>2477</v>
      </c>
      <c r="J1247" s="43" t="s">
        <v>5803</v>
      </c>
      <c r="K1247" s="43" t="s">
        <v>2573</v>
      </c>
      <c r="L1247" s="30">
        <v>2000</v>
      </c>
      <c r="M1247" s="30"/>
      <c r="N1247" s="30">
        <f>2000</f>
        <v>2000</v>
      </c>
      <c r="O1247" s="30">
        <f t="shared" si="21"/>
        <v>0</v>
      </c>
      <c r="P1247" s="43" t="s">
        <v>4552</v>
      </c>
    </row>
    <row r="1248" spans="2:16" ht="15.5" x14ac:dyDescent="0.35">
      <c r="B1248" s="79" t="s">
        <v>5833</v>
      </c>
      <c r="C1248" s="97" t="s">
        <v>5834</v>
      </c>
      <c r="D1248" s="36">
        <v>45581</v>
      </c>
      <c r="E1248" s="36">
        <v>45588</v>
      </c>
      <c r="F1248" s="36">
        <v>46317</v>
      </c>
      <c r="G1248" s="64" t="s">
        <v>6</v>
      </c>
      <c r="H1248" s="43" t="s">
        <v>5849</v>
      </c>
      <c r="I1248" s="35" t="s">
        <v>2522</v>
      </c>
      <c r="J1248" s="43" t="s">
        <v>5076</v>
      </c>
      <c r="K1248" s="43" t="s">
        <v>5076</v>
      </c>
      <c r="L1248" s="30">
        <v>23500</v>
      </c>
      <c r="M1248" s="30"/>
      <c r="N1248" s="30"/>
      <c r="O1248" s="30">
        <f t="shared" si="21"/>
        <v>23500</v>
      </c>
      <c r="P1248" s="44">
        <v>24.39</v>
      </c>
    </row>
    <row r="1249" spans="2:16" ht="29" x14ac:dyDescent="0.35">
      <c r="B1249" s="79" t="s">
        <v>5831</v>
      </c>
      <c r="C1249" s="97" t="s">
        <v>5836</v>
      </c>
      <c r="D1249" s="36">
        <v>45505</v>
      </c>
      <c r="E1249" s="36">
        <v>45590</v>
      </c>
      <c r="F1249" s="36">
        <v>46684</v>
      </c>
      <c r="G1249" s="64" t="s">
        <v>6</v>
      </c>
      <c r="H1249" s="43" t="s">
        <v>6065</v>
      </c>
      <c r="I1249" s="35" t="s">
        <v>2480</v>
      </c>
      <c r="J1249" s="43" t="s">
        <v>5803</v>
      </c>
      <c r="K1249" s="43" t="s">
        <v>2573</v>
      </c>
      <c r="L1249" s="30">
        <v>1000</v>
      </c>
      <c r="M1249" s="30"/>
      <c r="N1249" s="30">
        <f>1000</f>
        <v>1000</v>
      </c>
      <c r="O1249" s="30">
        <f t="shared" si="21"/>
        <v>0</v>
      </c>
      <c r="P1249" s="43" t="s">
        <v>4552</v>
      </c>
    </row>
    <row r="1250" spans="2:16" ht="29" x14ac:dyDescent="0.35">
      <c r="B1250" s="79" t="s">
        <v>5831</v>
      </c>
      <c r="C1250" s="97" t="s">
        <v>5837</v>
      </c>
      <c r="D1250" s="36">
        <v>45505</v>
      </c>
      <c r="E1250" s="36">
        <v>45590</v>
      </c>
      <c r="F1250" s="36">
        <v>46684</v>
      </c>
      <c r="G1250" s="64" t="s">
        <v>6</v>
      </c>
      <c r="H1250" s="43" t="s">
        <v>6072</v>
      </c>
      <c r="I1250" s="35" t="s">
        <v>2531</v>
      </c>
      <c r="J1250" s="43" t="s">
        <v>5803</v>
      </c>
      <c r="K1250" s="43" t="s">
        <v>2573</v>
      </c>
      <c r="L1250" s="30">
        <v>1000</v>
      </c>
      <c r="M1250" s="30"/>
      <c r="N1250" s="30">
        <v>884.13</v>
      </c>
      <c r="O1250" s="30">
        <f t="shared" si="21"/>
        <v>115.87</v>
      </c>
      <c r="P1250" s="43" t="s">
        <v>4552</v>
      </c>
    </row>
    <row r="1251" spans="2:16" ht="29" x14ac:dyDescent="0.35">
      <c r="B1251" s="79" t="s">
        <v>5831</v>
      </c>
      <c r="C1251" s="97" t="s">
        <v>5838</v>
      </c>
      <c r="D1251" s="36">
        <v>45505</v>
      </c>
      <c r="E1251" s="36">
        <v>45590</v>
      </c>
      <c r="F1251" s="36">
        <v>46684</v>
      </c>
      <c r="G1251" s="64" t="s">
        <v>6</v>
      </c>
      <c r="H1251" s="43" t="s">
        <v>6127</v>
      </c>
      <c r="I1251" s="35" t="s">
        <v>2504</v>
      </c>
      <c r="J1251" s="43" t="s">
        <v>5803</v>
      </c>
      <c r="K1251" s="43" t="s">
        <v>2573</v>
      </c>
      <c r="L1251" s="30">
        <v>1000</v>
      </c>
      <c r="M1251" s="30"/>
      <c r="N1251" s="30">
        <v>1000</v>
      </c>
      <c r="O1251" s="30">
        <f t="shared" si="21"/>
        <v>0</v>
      </c>
      <c r="P1251" s="43" t="s">
        <v>4552</v>
      </c>
    </row>
    <row r="1252" spans="2:16" ht="29" x14ac:dyDescent="0.35">
      <c r="B1252" s="79" t="s">
        <v>5687</v>
      </c>
      <c r="C1252" s="97" t="s">
        <v>5839</v>
      </c>
      <c r="D1252" s="36">
        <v>45505</v>
      </c>
      <c r="E1252" s="36">
        <v>45593</v>
      </c>
      <c r="F1252" s="36">
        <v>45657</v>
      </c>
      <c r="G1252" s="64" t="s">
        <v>6</v>
      </c>
      <c r="H1252" s="43" t="s">
        <v>6063</v>
      </c>
      <c r="I1252" s="35" t="s">
        <v>2917</v>
      </c>
      <c r="J1252" s="43" t="s">
        <v>5803</v>
      </c>
      <c r="K1252" s="43" t="s">
        <v>2573</v>
      </c>
      <c r="L1252" s="30">
        <v>300</v>
      </c>
      <c r="M1252" s="30"/>
      <c r="N1252" s="30">
        <f>300</f>
        <v>300</v>
      </c>
      <c r="O1252" s="30">
        <f t="shared" si="21"/>
        <v>0</v>
      </c>
      <c r="P1252" s="43" t="s">
        <v>4552</v>
      </c>
    </row>
    <row r="1253" spans="2:16" ht="29" x14ac:dyDescent="0.35">
      <c r="B1253" s="79" t="s">
        <v>5687</v>
      </c>
      <c r="C1253" s="97" t="s">
        <v>5840</v>
      </c>
      <c r="D1253" s="36">
        <v>45505</v>
      </c>
      <c r="E1253" s="36">
        <v>45594</v>
      </c>
      <c r="F1253" s="36">
        <v>45657</v>
      </c>
      <c r="G1253" s="64" t="s">
        <v>6</v>
      </c>
      <c r="H1253" s="43" t="s">
        <v>6118</v>
      </c>
      <c r="I1253" s="35" t="s">
        <v>6112</v>
      </c>
      <c r="J1253" s="43" t="s">
        <v>5803</v>
      </c>
      <c r="K1253" s="43" t="s">
        <v>2573</v>
      </c>
      <c r="L1253" s="30">
        <v>300</v>
      </c>
      <c r="M1253" s="30"/>
      <c r="N1253" s="30">
        <v>300</v>
      </c>
      <c r="O1253" s="30">
        <f t="shared" si="21"/>
        <v>0</v>
      </c>
      <c r="P1253" s="43" t="s">
        <v>4552</v>
      </c>
    </row>
    <row r="1254" spans="2:16" ht="15.5" x14ac:dyDescent="0.35">
      <c r="B1254" s="79" t="s">
        <v>5841</v>
      </c>
      <c r="C1254" s="97" t="s">
        <v>5842</v>
      </c>
      <c r="D1254" s="36">
        <v>45593</v>
      </c>
      <c r="E1254" s="36">
        <v>45594</v>
      </c>
      <c r="F1254" s="36">
        <v>47419</v>
      </c>
      <c r="G1254" s="64" t="s">
        <v>6</v>
      </c>
      <c r="H1254" s="43" t="s">
        <v>6119</v>
      </c>
      <c r="I1254" s="35" t="s">
        <v>2535</v>
      </c>
      <c r="J1254" s="43" t="s">
        <v>5766</v>
      </c>
      <c r="K1254" s="43" t="s">
        <v>5847</v>
      </c>
      <c r="L1254" s="30">
        <v>163363</v>
      </c>
      <c r="M1254" s="30"/>
      <c r="N1254" s="30"/>
      <c r="O1254" s="30">
        <f t="shared" si="21"/>
        <v>163363</v>
      </c>
      <c r="P1254" s="44" t="s">
        <v>5850</v>
      </c>
    </row>
    <row r="1255" spans="2:16" ht="15.5" x14ac:dyDescent="0.35">
      <c r="B1255" s="79" t="s">
        <v>5592</v>
      </c>
      <c r="C1255" s="97" t="s">
        <v>5843</v>
      </c>
      <c r="D1255" s="36">
        <v>45491</v>
      </c>
      <c r="E1255" s="36">
        <v>45596</v>
      </c>
      <c r="F1255" s="36">
        <v>47306</v>
      </c>
      <c r="G1255" s="64" t="s">
        <v>6</v>
      </c>
      <c r="H1255" s="43" t="s">
        <v>5593</v>
      </c>
      <c r="I1255" s="35" t="s">
        <v>3011</v>
      </c>
      <c r="J1255" s="43" t="s">
        <v>5784</v>
      </c>
      <c r="K1255" s="43" t="s">
        <v>2584</v>
      </c>
      <c r="L1255" s="30">
        <v>1932000</v>
      </c>
      <c r="M1255" s="30"/>
      <c r="N1255" s="30">
        <f>169859</f>
        <v>169859</v>
      </c>
      <c r="O1255" s="30">
        <f>L1255-M1255-N1255</f>
        <v>1762141</v>
      </c>
      <c r="P1255" s="44">
        <v>3.4</v>
      </c>
    </row>
    <row r="1256" spans="2:16" ht="29" x14ac:dyDescent="0.35">
      <c r="B1256" s="79" t="s">
        <v>5687</v>
      </c>
      <c r="C1256" s="97" t="s">
        <v>5844</v>
      </c>
      <c r="D1256" s="36">
        <v>45505</v>
      </c>
      <c r="E1256" s="36">
        <v>45596</v>
      </c>
      <c r="F1256" s="36">
        <v>45657</v>
      </c>
      <c r="G1256" s="64" t="s">
        <v>6</v>
      </c>
      <c r="H1256" s="43" t="s">
        <v>3868</v>
      </c>
      <c r="I1256" s="35" t="s">
        <v>2529</v>
      </c>
      <c r="J1256" s="43" t="s">
        <v>5803</v>
      </c>
      <c r="K1256" s="43" t="s">
        <v>2573</v>
      </c>
      <c r="L1256" s="30">
        <v>4465</v>
      </c>
      <c r="M1256" s="30">
        <v>0</v>
      </c>
      <c r="N1256" s="30">
        <f>4465</f>
        <v>4465</v>
      </c>
      <c r="O1256" s="30">
        <f t="shared" si="21"/>
        <v>0</v>
      </c>
      <c r="P1256" s="43" t="s">
        <v>4552</v>
      </c>
    </row>
    <row r="1257" spans="2:16" ht="29" x14ac:dyDescent="0.35">
      <c r="B1257" s="79" t="s">
        <v>5687</v>
      </c>
      <c r="C1257" s="97" t="s">
        <v>5845</v>
      </c>
      <c r="D1257" s="36">
        <v>45505</v>
      </c>
      <c r="E1257" s="36">
        <v>45596</v>
      </c>
      <c r="F1257" s="36">
        <v>45657</v>
      </c>
      <c r="G1257" s="64" t="s">
        <v>6</v>
      </c>
      <c r="H1257" s="43" t="s">
        <v>45</v>
      </c>
      <c r="I1257" s="35" t="s">
        <v>2476</v>
      </c>
      <c r="J1257" s="43" t="s">
        <v>5803</v>
      </c>
      <c r="K1257" s="43" t="s">
        <v>2573</v>
      </c>
      <c r="L1257" s="30">
        <v>2320</v>
      </c>
      <c r="M1257" s="30"/>
      <c r="N1257" s="30"/>
      <c r="O1257" s="30">
        <f t="shared" si="21"/>
        <v>2320</v>
      </c>
      <c r="P1257" s="43" t="s">
        <v>4552</v>
      </c>
    </row>
    <row r="1258" spans="2:16" x14ac:dyDescent="0.35">
      <c r="B1258" s="35" t="s">
        <v>5852</v>
      </c>
      <c r="C1258" s="80" t="s">
        <v>5853</v>
      </c>
      <c r="D1258" s="36">
        <v>45561</v>
      </c>
      <c r="E1258" s="36">
        <v>45561</v>
      </c>
      <c r="F1258" s="36">
        <v>45807</v>
      </c>
      <c r="G1258" s="64" t="s">
        <v>6</v>
      </c>
      <c r="H1258" s="43" t="s">
        <v>786</v>
      </c>
      <c r="I1258" s="35" t="s">
        <v>2494</v>
      </c>
      <c r="J1258" s="43" t="s">
        <v>5854</v>
      </c>
      <c r="K1258" s="43" t="s">
        <v>2581</v>
      </c>
      <c r="L1258" s="30">
        <v>5509</v>
      </c>
      <c r="M1258" s="30">
        <v>0</v>
      </c>
      <c r="N1258" s="30">
        <f>5509</f>
        <v>5509</v>
      </c>
      <c r="O1258" s="30">
        <f t="shared" si="21"/>
        <v>0</v>
      </c>
      <c r="P1258" s="44" t="s">
        <v>2874</v>
      </c>
    </row>
    <row r="1259" spans="2:16" ht="29" x14ac:dyDescent="0.35">
      <c r="B1259" s="35" t="s">
        <v>5855</v>
      </c>
      <c r="C1259" s="94" t="s">
        <v>5856</v>
      </c>
      <c r="D1259" s="36">
        <v>45555</v>
      </c>
      <c r="E1259" s="36">
        <v>45555</v>
      </c>
      <c r="F1259" s="36">
        <v>45811</v>
      </c>
      <c r="G1259" s="64" t="s">
        <v>6</v>
      </c>
      <c r="H1259" s="43" t="s">
        <v>815</v>
      </c>
      <c r="I1259" s="35" t="s">
        <v>2514</v>
      </c>
      <c r="J1259" s="43" t="s">
        <v>5857</v>
      </c>
      <c r="K1259" s="43" t="s">
        <v>2581</v>
      </c>
      <c r="L1259" s="30">
        <v>18886</v>
      </c>
      <c r="M1259" s="30">
        <v>0</v>
      </c>
      <c r="N1259" s="30">
        <f>18886</f>
        <v>18886</v>
      </c>
      <c r="O1259" s="30">
        <f t="shared" si="21"/>
        <v>0</v>
      </c>
      <c r="P1259" s="43" t="s">
        <v>2874</v>
      </c>
    </row>
    <row r="1260" spans="2:16" x14ac:dyDescent="0.35">
      <c r="B1260" s="35" t="s">
        <v>5858</v>
      </c>
      <c r="C1260" s="80" t="s">
        <v>5859</v>
      </c>
      <c r="D1260" s="36">
        <v>45540</v>
      </c>
      <c r="E1260" s="36">
        <v>45899</v>
      </c>
      <c r="F1260" s="36">
        <v>45763</v>
      </c>
      <c r="G1260" s="64" t="s">
        <v>6</v>
      </c>
      <c r="H1260" s="43" t="s">
        <v>5576</v>
      </c>
      <c r="I1260" s="35" t="s">
        <v>2507</v>
      </c>
      <c r="J1260" s="43" t="s">
        <v>5661</v>
      </c>
      <c r="K1260" s="43" t="s">
        <v>2581</v>
      </c>
      <c r="L1260" s="30">
        <v>996</v>
      </c>
      <c r="M1260" s="30">
        <v>0</v>
      </c>
      <c r="N1260" s="30">
        <v>996</v>
      </c>
      <c r="O1260" s="30">
        <f t="shared" si="21"/>
        <v>0</v>
      </c>
      <c r="P1260" s="43" t="s">
        <v>2874</v>
      </c>
    </row>
    <row r="1261" spans="2:16" x14ac:dyDescent="0.35">
      <c r="B1261" s="35" t="s">
        <v>5860</v>
      </c>
      <c r="C1261" s="80" t="s">
        <v>5861</v>
      </c>
      <c r="D1261" s="36">
        <v>45581</v>
      </c>
      <c r="E1261" s="36">
        <v>45575</v>
      </c>
      <c r="F1261" s="36">
        <v>45763</v>
      </c>
      <c r="G1261" s="64" t="s">
        <v>6</v>
      </c>
      <c r="H1261" s="43" t="s">
        <v>5576</v>
      </c>
      <c r="I1261" s="35" t="s">
        <v>2507</v>
      </c>
      <c r="J1261" s="43" t="s">
        <v>5661</v>
      </c>
      <c r="K1261" s="43" t="s">
        <v>2581</v>
      </c>
      <c r="L1261" s="30">
        <v>750</v>
      </c>
      <c r="M1261" s="30">
        <v>0</v>
      </c>
      <c r="N1261" s="30">
        <v>750</v>
      </c>
      <c r="O1261" s="30">
        <f t="shared" si="21"/>
        <v>0</v>
      </c>
      <c r="P1261" s="43" t="s">
        <v>2874</v>
      </c>
    </row>
    <row r="1262" spans="2:16" ht="29" x14ac:dyDescent="0.35">
      <c r="B1262" s="35" t="s">
        <v>5862</v>
      </c>
      <c r="C1262" s="80" t="s">
        <v>5863</v>
      </c>
      <c r="D1262" s="36">
        <v>45560</v>
      </c>
      <c r="E1262" s="36">
        <v>45560</v>
      </c>
      <c r="F1262" s="36">
        <v>45763</v>
      </c>
      <c r="G1262" s="64" t="s">
        <v>6</v>
      </c>
      <c r="H1262" s="35" t="s">
        <v>799</v>
      </c>
      <c r="I1262" s="35" t="s">
        <v>2490</v>
      </c>
      <c r="J1262" s="43" t="s">
        <v>5662</v>
      </c>
      <c r="K1262" s="43" t="s">
        <v>2581</v>
      </c>
      <c r="L1262" s="30">
        <v>6933</v>
      </c>
      <c r="M1262" s="30">
        <v>0</v>
      </c>
      <c r="N1262" s="30">
        <v>6933</v>
      </c>
      <c r="O1262" s="30">
        <f t="shared" si="21"/>
        <v>0</v>
      </c>
      <c r="P1262" s="44" t="s">
        <v>2874</v>
      </c>
    </row>
    <row r="1263" spans="2:16" ht="29" x14ac:dyDescent="0.35">
      <c r="B1263" s="35" t="s">
        <v>5864</v>
      </c>
      <c r="C1263" s="80" t="s">
        <v>5865</v>
      </c>
      <c r="D1263" s="36">
        <v>45576</v>
      </c>
      <c r="E1263" s="36">
        <v>45576</v>
      </c>
      <c r="F1263" s="36">
        <v>45763</v>
      </c>
      <c r="G1263" s="64" t="s">
        <v>6</v>
      </c>
      <c r="H1263" s="35" t="s">
        <v>799</v>
      </c>
      <c r="I1263" s="35" t="s">
        <v>2490</v>
      </c>
      <c r="J1263" s="43" t="s">
        <v>5662</v>
      </c>
      <c r="K1263" s="43" t="s">
        <v>2581</v>
      </c>
      <c r="L1263" s="30">
        <v>9342</v>
      </c>
      <c r="M1263" s="30">
        <v>0</v>
      </c>
      <c r="N1263" s="30">
        <v>9342</v>
      </c>
      <c r="O1263" s="30">
        <f t="shared" si="21"/>
        <v>0</v>
      </c>
      <c r="P1263" s="44" t="s">
        <v>2874</v>
      </c>
    </row>
    <row r="1264" spans="2:16" ht="29" x14ac:dyDescent="0.35">
      <c r="B1264" s="106" t="s">
        <v>5710</v>
      </c>
      <c r="C1264" s="106" t="s">
        <v>5888</v>
      </c>
      <c r="D1264" s="36">
        <v>45604</v>
      </c>
      <c r="E1264" s="36">
        <v>45600</v>
      </c>
      <c r="F1264" s="36">
        <v>45657</v>
      </c>
      <c r="G1264" s="64" t="s">
        <v>6</v>
      </c>
      <c r="H1264" s="75" t="s">
        <v>5782</v>
      </c>
      <c r="I1264" s="35" t="s">
        <v>2492</v>
      </c>
      <c r="J1264" s="43" t="s">
        <v>4704</v>
      </c>
      <c r="K1264" s="43" t="s">
        <v>4704</v>
      </c>
      <c r="L1264" s="74">
        <v>36840</v>
      </c>
      <c r="M1264" s="30"/>
      <c r="N1264" s="30">
        <f>36840</f>
        <v>36840</v>
      </c>
      <c r="O1264" s="30">
        <f t="shared" si="21"/>
        <v>0</v>
      </c>
      <c r="P1264" s="43" t="s">
        <v>5942</v>
      </c>
    </row>
    <row r="1265" spans="2:16" ht="29" x14ac:dyDescent="0.35">
      <c r="B1265" s="72" t="s">
        <v>5687</v>
      </c>
      <c r="C1265" s="89" t="s">
        <v>5889</v>
      </c>
      <c r="D1265" s="36">
        <v>45608</v>
      </c>
      <c r="E1265" s="36">
        <v>45603</v>
      </c>
      <c r="F1265" s="36">
        <v>45657</v>
      </c>
      <c r="G1265" s="64" t="s">
        <v>6</v>
      </c>
      <c r="H1265" s="72" t="s">
        <v>3868</v>
      </c>
      <c r="I1265" s="35" t="s">
        <v>2529</v>
      </c>
      <c r="J1265" s="43" t="s">
        <v>5803</v>
      </c>
      <c r="K1265" s="43" t="s">
        <v>2573</v>
      </c>
      <c r="L1265" s="73">
        <v>3405</v>
      </c>
      <c r="M1265" s="30">
        <v>0</v>
      </c>
      <c r="N1265" s="30">
        <v>3180</v>
      </c>
      <c r="O1265" s="30">
        <f t="shared" si="21"/>
        <v>225</v>
      </c>
      <c r="P1265" s="43" t="s">
        <v>4552</v>
      </c>
    </row>
    <row r="1266" spans="2:16" x14ac:dyDescent="0.35">
      <c r="B1266" s="72" t="s">
        <v>5868</v>
      </c>
      <c r="C1266" s="89" t="s">
        <v>5890</v>
      </c>
      <c r="D1266" s="36">
        <v>45614</v>
      </c>
      <c r="E1266" s="36">
        <v>45603</v>
      </c>
      <c r="F1266" s="36">
        <v>46697</v>
      </c>
      <c r="G1266" s="64" t="s">
        <v>6</v>
      </c>
      <c r="H1266" s="72" t="s">
        <v>5921</v>
      </c>
      <c r="I1266" s="55" t="s">
        <v>2480</v>
      </c>
      <c r="J1266" s="43" t="s">
        <v>5944</v>
      </c>
      <c r="K1266" s="43" t="s">
        <v>5847</v>
      </c>
      <c r="L1266" s="73">
        <v>647400</v>
      </c>
      <c r="M1266" s="30"/>
      <c r="N1266" s="30"/>
      <c r="O1266" s="30">
        <f t="shared" si="21"/>
        <v>647400</v>
      </c>
      <c r="P1266" s="44">
        <v>13.2</v>
      </c>
    </row>
    <row r="1267" spans="2:16" x14ac:dyDescent="0.35">
      <c r="B1267" s="72" t="s">
        <v>5869</v>
      </c>
      <c r="C1267" s="89" t="s">
        <v>5891</v>
      </c>
      <c r="D1267" s="36">
        <v>45603</v>
      </c>
      <c r="E1267" s="36">
        <v>45605</v>
      </c>
      <c r="F1267" s="36">
        <v>45604</v>
      </c>
      <c r="G1267" s="64" t="s">
        <v>6</v>
      </c>
      <c r="H1267" s="72" t="s">
        <v>5922</v>
      </c>
      <c r="I1267" s="35" t="s">
        <v>2483</v>
      </c>
      <c r="J1267" s="43" t="s">
        <v>5945</v>
      </c>
      <c r="K1267" s="43" t="s">
        <v>5847</v>
      </c>
      <c r="L1267" s="73">
        <v>3780000</v>
      </c>
      <c r="M1267" s="30"/>
      <c r="N1267" s="30"/>
      <c r="O1267" s="30">
        <f t="shared" si="21"/>
        <v>3780000</v>
      </c>
      <c r="P1267" s="44">
        <v>1.1000000000000001</v>
      </c>
    </row>
    <row r="1268" spans="2:16" ht="29" x14ac:dyDescent="0.35">
      <c r="B1268" s="72" t="s">
        <v>5870</v>
      </c>
      <c r="C1268" s="89" t="s">
        <v>5892</v>
      </c>
      <c r="D1268" s="36">
        <v>45574</v>
      </c>
      <c r="E1268" s="36">
        <v>45605</v>
      </c>
      <c r="F1268" s="36">
        <v>46699</v>
      </c>
      <c r="G1268" s="64" t="s">
        <v>6</v>
      </c>
      <c r="H1268" s="72" t="s">
        <v>5923</v>
      </c>
      <c r="I1268" s="35" t="s">
        <v>2492</v>
      </c>
      <c r="J1268" s="43" t="s">
        <v>5952</v>
      </c>
      <c r="K1268" s="43" t="s">
        <v>2583</v>
      </c>
      <c r="L1268" s="73">
        <v>5250</v>
      </c>
      <c r="M1268" s="30"/>
      <c r="N1268" s="30"/>
      <c r="O1268" s="30">
        <f t="shared" si="21"/>
        <v>5250</v>
      </c>
      <c r="P1268" s="44">
        <v>3.18</v>
      </c>
    </row>
    <row r="1269" spans="2:16" x14ac:dyDescent="0.35">
      <c r="B1269" s="72" t="s">
        <v>5871</v>
      </c>
      <c r="C1269" s="89" t="s">
        <v>5893</v>
      </c>
      <c r="D1269" s="36">
        <v>45614</v>
      </c>
      <c r="E1269" s="36">
        <v>45607</v>
      </c>
      <c r="F1269" s="36">
        <v>47797</v>
      </c>
      <c r="G1269" s="64" t="s">
        <v>6</v>
      </c>
      <c r="H1269" s="72" t="s">
        <v>5924</v>
      </c>
      <c r="I1269" s="35" t="s">
        <v>2483</v>
      </c>
      <c r="J1269" s="43" t="s">
        <v>5945</v>
      </c>
      <c r="K1269" s="43" t="s">
        <v>5847</v>
      </c>
      <c r="L1269" s="73">
        <v>2520000</v>
      </c>
      <c r="M1269" s="30"/>
      <c r="N1269" s="30"/>
      <c r="O1269" s="30">
        <f t="shared" si="21"/>
        <v>2520000</v>
      </c>
      <c r="P1269" s="44">
        <v>75.94</v>
      </c>
    </row>
    <row r="1270" spans="2:16" x14ac:dyDescent="0.35">
      <c r="B1270" s="72" t="s">
        <v>5873</v>
      </c>
      <c r="C1270" s="89" t="s">
        <v>5894</v>
      </c>
      <c r="D1270" s="36">
        <v>45617</v>
      </c>
      <c r="E1270" s="36">
        <v>45607</v>
      </c>
      <c r="F1270" s="36">
        <v>47797</v>
      </c>
      <c r="G1270" s="64" t="s">
        <v>6</v>
      </c>
      <c r="H1270" s="72" t="s">
        <v>5926</v>
      </c>
      <c r="I1270" s="35" t="s">
        <v>2483</v>
      </c>
      <c r="J1270" s="43" t="s">
        <v>5945</v>
      </c>
      <c r="K1270" s="43" t="s">
        <v>5847</v>
      </c>
      <c r="L1270" s="73">
        <v>2100000</v>
      </c>
      <c r="M1270" s="30"/>
      <c r="N1270" s="30"/>
      <c r="O1270" s="30">
        <f t="shared" si="21"/>
        <v>2100000</v>
      </c>
      <c r="P1270" s="44">
        <v>97.88</v>
      </c>
    </row>
    <row r="1271" spans="2:16" x14ac:dyDescent="0.35">
      <c r="B1271" s="72" t="s">
        <v>5874</v>
      </c>
      <c r="C1271" s="89" t="s">
        <v>5895</v>
      </c>
      <c r="D1271" s="36">
        <v>45616</v>
      </c>
      <c r="E1271" s="36">
        <v>45609</v>
      </c>
      <c r="F1271" s="36">
        <v>47299</v>
      </c>
      <c r="G1271" s="64" t="s">
        <v>6</v>
      </c>
      <c r="H1271" s="72" t="s">
        <v>5926</v>
      </c>
      <c r="I1271" s="35" t="s">
        <v>2483</v>
      </c>
      <c r="J1271" s="43" t="s">
        <v>5945</v>
      </c>
      <c r="K1271" s="43" t="s">
        <v>2583</v>
      </c>
      <c r="L1271" s="73">
        <v>623100</v>
      </c>
      <c r="M1271" s="30"/>
      <c r="N1271" s="30"/>
      <c r="O1271" s="30">
        <f t="shared" si="21"/>
        <v>623100</v>
      </c>
      <c r="P1271" s="44">
        <v>97.88</v>
      </c>
    </row>
    <row r="1272" spans="2:16" x14ac:dyDescent="0.35">
      <c r="B1272" s="72" t="s">
        <v>5875</v>
      </c>
      <c r="C1272" s="89" t="s">
        <v>5896</v>
      </c>
      <c r="D1272" s="36">
        <v>45616</v>
      </c>
      <c r="E1272" s="36">
        <v>45609</v>
      </c>
      <c r="F1272" s="36">
        <v>47299</v>
      </c>
      <c r="G1272" s="64" t="s">
        <v>6</v>
      </c>
      <c r="H1272" s="72" t="s">
        <v>5925</v>
      </c>
      <c r="I1272" s="35" t="s">
        <v>2483</v>
      </c>
      <c r="J1272" s="43" t="s">
        <v>5945</v>
      </c>
      <c r="K1272" s="43" t="s">
        <v>2583</v>
      </c>
      <c r="L1272" s="73">
        <v>1179900</v>
      </c>
      <c r="M1272" s="30"/>
      <c r="N1272" s="30"/>
      <c r="O1272" s="30">
        <f t="shared" si="21"/>
        <v>1179900</v>
      </c>
      <c r="P1272" s="44">
        <v>55.91</v>
      </c>
    </row>
    <row r="1273" spans="2:16" x14ac:dyDescent="0.35">
      <c r="B1273" s="72" t="s">
        <v>5876</v>
      </c>
      <c r="C1273" s="89" t="s">
        <v>5897</v>
      </c>
      <c r="D1273" s="36">
        <v>45616</v>
      </c>
      <c r="E1273" s="36">
        <v>45609</v>
      </c>
      <c r="F1273" s="36">
        <v>47299</v>
      </c>
      <c r="G1273" s="64" t="s">
        <v>6</v>
      </c>
      <c r="H1273" s="72" t="s">
        <v>5927</v>
      </c>
      <c r="I1273" s="35" t="s">
        <v>2483</v>
      </c>
      <c r="J1273" s="43" t="s">
        <v>5945</v>
      </c>
      <c r="K1273" s="43" t="s">
        <v>2583</v>
      </c>
      <c r="L1273" s="73">
        <v>250000</v>
      </c>
      <c r="M1273" s="30"/>
      <c r="N1273" s="30"/>
      <c r="O1273" s="30">
        <f t="shared" si="21"/>
        <v>250000</v>
      </c>
      <c r="P1273" s="44">
        <v>24.73</v>
      </c>
    </row>
    <row r="1274" spans="2:16" x14ac:dyDescent="0.35">
      <c r="B1274" s="72" t="s">
        <v>5877</v>
      </c>
      <c r="C1274" s="89" t="s">
        <v>5898</v>
      </c>
      <c r="D1274" s="36">
        <v>45616</v>
      </c>
      <c r="E1274" s="36">
        <v>45609</v>
      </c>
      <c r="F1274" s="36">
        <v>47299</v>
      </c>
      <c r="G1274" s="64" t="s">
        <v>6</v>
      </c>
      <c r="H1274" s="72" t="s">
        <v>5924</v>
      </c>
      <c r="I1274" s="35" t="s">
        <v>2483</v>
      </c>
      <c r="J1274" s="43" t="s">
        <v>5945</v>
      </c>
      <c r="K1274" s="43" t="s">
        <v>2583</v>
      </c>
      <c r="L1274" s="73">
        <v>3375000</v>
      </c>
      <c r="M1274" s="30"/>
      <c r="N1274" s="30"/>
      <c r="O1274" s="30">
        <f t="shared" si="21"/>
        <v>3375000</v>
      </c>
      <c r="P1274" s="44">
        <v>75.94</v>
      </c>
    </row>
    <row r="1275" spans="2:16" x14ac:dyDescent="0.35">
      <c r="B1275" s="72" t="s">
        <v>5878</v>
      </c>
      <c r="C1275" s="89" t="s">
        <v>5899</v>
      </c>
      <c r="D1275" s="36">
        <v>45616</v>
      </c>
      <c r="E1275" s="36">
        <v>45609</v>
      </c>
      <c r="F1275" s="36">
        <v>47299</v>
      </c>
      <c r="G1275" s="64" t="s">
        <v>6</v>
      </c>
      <c r="H1275" s="72" t="s">
        <v>5922</v>
      </c>
      <c r="I1275" s="35" t="s">
        <v>2483</v>
      </c>
      <c r="J1275" s="43" t="s">
        <v>5945</v>
      </c>
      <c r="K1275" s="43" t="s">
        <v>2583</v>
      </c>
      <c r="L1275" s="73">
        <v>2267000</v>
      </c>
      <c r="M1275" s="30"/>
      <c r="N1275" s="30"/>
      <c r="O1275" s="30">
        <f t="shared" si="21"/>
        <v>2267000</v>
      </c>
      <c r="P1275" s="44">
        <v>1.1000000000000001</v>
      </c>
    </row>
    <row r="1276" spans="2:16" ht="29" x14ac:dyDescent="0.35">
      <c r="B1276" s="72" t="s">
        <v>5879</v>
      </c>
      <c r="C1276" s="89" t="s">
        <v>5900</v>
      </c>
      <c r="D1276" s="36">
        <v>45616</v>
      </c>
      <c r="E1276" s="36">
        <v>45610</v>
      </c>
      <c r="F1276" s="36">
        <v>45609</v>
      </c>
      <c r="G1276" s="64" t="s">
        <v>6</v>
      </c>
      <c r="H1276" s="72" t="s">
        <v>2274</v>
      </c>
      <c r="I1276" s="35" t="s">
        <v>2482</v>
      </c>
      <c r="J1276" s="43" t="s">
        <v>5946</v>
      </c>
      <c r="K1276" s="72" t="s">
        <v>5804</v>
      </c>
      <c r="L1276" s="73">
        <v>15000</v>
      </c>
      <c r="M1276" s="30"/>
      <c r="N1276" s="30"/>
      <c r="O1276" s="30">
        <f t="shared" si="21"/>
        <v>15000</v>
      </c>
      <c r="P1276" s="44">
        <v>1.61</v>
      </c>
    </row>
    <row r="1277" spans="2:16" x14ac:dyDescent="0.35">
      <c r="B1277" s="72" t="s">
        <v>5880</v>
      </c>
      <c r="C1277" s="89" t="s">
        <v>5901</v>
      </c>
      <c r="D1277" s="36">
        <v>45617</v>
      </c>
      <c r="E1277" s="36">
        <v>45610</v>
      </c>
      <c r="F1277" s="36">
        <v>47299</v>
      </c>
      <c r="G1277" s="64" t="s">
        <v>6</v>
      </c>
      <c r="H1277" s="72" t="s">
        <v>5928</v>
      </c>
      <c r="I1277" s="35" t="s">
        <v>2483</v>
      </c>
      <c r="J1277" s="43" t="s">
        <v>5947</v>
      </c>
      <c r="K1277" s="43" t="s">
        <v>2583</v>
      </c>
      <c r="L1277" s="73">
        <v>1505000</v>
      </c>
      <c r="M1277" s="30"/>
      <c r="N1277" s="30"/>
      <c r="O1277" s="30">
        <f t="shared" si="21"/>
        <v>1505000</v>
      </c>
      <c r="P1277" s="44">
        <v>4.5999999999999996</v>
      </c>
    </row>
    <row r="1278" spans="2:16" ht="29" x14ac:dyDescent="0.35">
      <c r="B1278" s="72" t="s">
        <v>5881</v>
      </c>
      <c r="C1278" s="89" t="s">
        <v>5902</v>
      </c>
      <c r="D1278" s="36">
        <v>45621</v>
      </c>
      <c r="E1278" s="36">
        <v>45612</v>
      </c>
      <c r="F1278" s="36">
        <v>46341</v>
      </c>
      <c r="G1278" s="64" t="s">
        <v>6</v>
      </c>
      <c r="H1278" s="72" t="s">
        <v>5929</v>
      </c>
      <c r="I1278" s="35" t="s">
        <v>5948</v>
      </c>
      <c r="J1278" s="43" t="s">
        <v>5949</v>
      </c>
      <c r="K1278" s="43" t="s">
        <v>5847</v>
      </c>
      <c r="L1278" s="73">
        <v>72000</v>
      </c>
      <c r="M1278" s="30"/>
      <c r="N1278" s="30"/>
      <c r="O1278" s="30">
        <f t="shared" si="21"/>
        <v>72000</v>
      </c>
      <c r="P1278" s="44">
        <v>3.05</v>
      </c>
    </row>
    <row r="1279" spans="2:16" ht="29" x14ac:dyDescent="0.35">
      <c r="B1279" s="72" t="s">
        <v>5882</v>
      </c>
      <c r="C1279" s="89" t="s">
        <v>5903</v>
      </c>
      <c r="D1279" s="36">
        <v>45609</v>
      </c>
      <c r="E1279" s="36">
        <v>45612</v>
      </c>
      <c r="F1279" s="36">
        <v>45611</v>
      </c>
      <c r="G1279" s="64" t="s">
        <v>6</v>
      </c>
      <c r="H1279" s="72" t="s">
        <v>2274</v>
      </c>
      <c r="I1279" s="35" t="s">
        <v>2482</v>
      </c>
      <c r="J1279" s="43" t="s">
        <v>5946</v>
      </c>
      <c r="K1279" s="43" t="s">
        <v>2583</v>
      </c>
      <c r="L1279" s="73">
        <v>3000</v>
      </c>
      <c r="M1279" s="30"/>
      <c r="N1279" s="30"/>
      <c r="O1279" s="30">
        <f t="shared" si="21"/>
        <v>3000</v>
      </c>
      <c r="P1279" s="44">
        <v>1.61</v>
      </c>
    </row>
    <row r="1280" spans="2:16" ht="29" x14ac:dyDescent="0.35">
      <c r="B1280" s="72" t="s">
        <v>5883</v>
      </c>
      <c r="C1280" s="89" t="s">
        <v>5904</v>
      </c>
      <c r="D1280" s="36">
        <v>45594</v>
      </c>
      <c r="E1280" s="36">
        <v>45614</v>
      </c>
      <c r="F1280" s="36">
        <v>45978</v>
      </c>
      <c r="G1280" s="64" t="s">
        <v>6</v>
      </c>
      <c r="H1280" s="72" t="s">
        <v>2274</v>
      </c>
      <c r="I1280" s="35" t="s">
        <v>2482</v>
      </c>
      <c r="J1280" s="43" t="s">
        <v>5946</v>
      </c>
      <c r="K1280" s="43" t="s">
        <v>5076</v>
      </c>
      <c r="L1280" s="73">
        <v>50000</v>
      </c>
      <c r="M1280" s="30"/>
      <c r="N1280" s="30"/>
      <c r="O1280" s="30">
        <f t="shared" si="21"/>
        <v>50000</v>
      </c>
      <c r="P1280" s="44">
        <v>1.61</v>
      </c>
    </row>
    <row r="1281" spans="2:16" ht="29" x14ac:dyDescent="0.35">
      <c r="B1281" s="72" t="s">
        <v>5831</v>
      </c>
      <c r="C1281" s="89" t="s">
        <v>5905</v>
      </c>
      <c r="D1281" s="36">
        <v>45505</v>
      </c>
      <c r="E1281" s="36">
        <v>45614</v>
      </c>
      <c r="F1281" s="36">
        <v>46708</v>
      </c>
      <c r="G1281" s="64" t="s">
        <v>6</v>
      </c>
      <c r="H1281" s="72" t="s">
        <v>5930</v>
      </c>
      <c r="I1281" s="35" t="s">
        <v>3015</v>
      </c>
      <c r="J1281" s="43" t="s">
        <v>5803</v>
      </c>
      <c r="K1281" s="43" t="s">
        <v>2573</v>
      </c>
      <c r="L1281" s="73">
        <v>1000</v>
      </c>
      <c r="M1281" s="30"/>
      <c r="N1281" s="30">
        <v>1000</v>
      </c>
      <c r="O1281" s="30">
        <f t="shared" si="21"/>
        <v>0</v>
      </c>
      <c r="P1281" s="43" t="s">
        <v>4552</v>
      </c>
    </row>
    <row r="1282" spans="2:16" ht="29" x14ac:dyDescent="0.35">
      <c r="B1282" s="72" t="s">
        <v>5831</v>
      </c>
      <c r="C1282" s="89" t="s">
        <v>5906</v>
      </c>
      <c r="D1282" s="36">
        <v>45505</v>
      </c>
      <c r="E1282" s="36">
        <v>45616</v>
      </c>
      <c r="F1282" s="36">
        <v>45615</v>
      </c>
      <c r="G1282" s="64" t="s">
        <v>5683</v>
      </c>
      <c r="H1282" s="72" t="s">
        <v>1823</v>
      </c>
      <c r="I1282" s="35" t="s">
        <v>2503</v>
      </c>
      <c r="J1282" s="43" t="s">
        <v>5803</v>
      </c>
      <c r="K1282" s="43" t="s">
        <v>2573</v>
      </c>
      <c r="L1282" s="73">
        <v>1000</v>
      </c>
      <c r="M1282" s="30">
        <v>2.02</v>
      </c>
      <c r="N1282" s="30">
        <f>997.98</f>
        <v>997.98</v>
      </c>
      <c r="O1282" s="30">
        <f t="shared" si="21"/>
        <v>0</v>
      </c>
      <c r="P1282" s="43" t="s">
        <v>6518</v>
      </c>
    </row>
    <row r="1283" spans="2:16" x14ac:dyDescent="0.35">
      <c r="B1283" s="72" t="s">
        <v>5884</v>
      </c>
      <c r="C1283" s="89" t="s">
        <v>5907</v>
      </c>
      <c r="D1283" s="36">
        <v>45621</v>
      </c>
      <c r="E1283" s="36">
        <v>45616</v>
      </c>
      <c r="F1283" s="36">
        <v>414367</v>
      </c>
      <c r="G1283" s="64" t="s">
        <v>6</v>
      </c>
      <c r="H1283" s="72" t="s">
        <v>849</v>
      </c>
      <c r="I1283" s="35" t="s">
        <v>5943</v>
      </c>
      <c r="J1283" s="43" t="s">
        <v>5283</v>
      </c>
      <c r="K1283" s="43" t="s">
        <v>2581</v>
      </c>
      <c r="L1283" s="73">
        <v>9211</v>
      </c>
      <c r="M1283" s="30">
        <v>0</v>
      </c>
      <c r="N1283" s="30">
        <f>9211</f>
        <v>9211</v>
      </c>
      <c r="O1283" s="30">
        <f t="shared" si="21"/>
        <v>0</v>
      </c>
      <c r="P1283" s="44" t="s">
        <v>2874</v>
      </c>
    </row>
    <row r="1284" spans="2:16" x14ac:dyDescent="0.35">
      <c r="B1284" s="72" t="s">
        <v>5885</v>
      </c>
      <c r="C1284" s="89" t="s">
        <v>5908</v>
      </c>
      <c r="D1284" s="36">
        <v>45593</v>
      </c>
      <c r="E1284" s="36">
        <v>45616</v>
      </c>
      <c r="F1284" s="36">
        <v>46022</v>
      </c>
      <c r="G1284" s="64" t="s">
        <v>6</v>
      </c>
      <c r="H1284" s="72" t="s">
        <v>4109</v>
      </c>
      <c r="I1284" s="35" t="s">
        <v>2540</v>
      </c>
      <c r="J1284" s="43" t="s">
        <v>5686</v>
      </c>
      <c r="K1284" s="43" t="s">
        <v>2581</v>
      </c>
      <c r="L1284" s="73">
        <v>34274</v>
      </c>
      <c r="M1284" s="30"/>
      <c r="N1284" s="30">
        <f>34274</f>
        <v>34274</v>
      </c>
      <c r="O1284" s="30">
        <f t="shared" si="21"/>
        <v>0</v>
      </c>
      <c r="P1284" s="44" t="s">
        <v>2874</v>
      </c>
    </row>
    <row r="1285" spans="2:16" x14ac:dyDescent="0.35">
      <c r="B1285" s="72" t="s">
        <v>5788</v>
      </c>
      <c r="C1285" s="89" t="s">
        <v>5909</v>
      </c>
      <c r="D1285" s="36">
        <v>45505</v>
      </c>
      <c r="E1285" s="36">
        <v>45617</v>
      </c>
      <c r="F1285" s="36">
        <v>45981</v>
      </c>
      <c r="G1285" s="64" t="s">
        <v>6</v>
      </c>
      <c r="H1285" s="72" t="s">
        <v>5931</v>
      </c>
      <c r="I1285" s="35" t="s">
        <v>2534</v>
      </c>
      <c r="J1285" s="43" t="s">
        <v>5950</v>
      </c>
      <c r="K1285" s="43" t="s">
        <v>4704</v>
      </c>
      <c r="L1285" s="73">
        <v>10000</v>
      </c>
      <c r="M1285" s="30"/>
      <c r="N1285" s="30">
        <f>1197.5</f>
        <v>1197.5</v>
      </c>
      <c r="O1285" s="30">
        <f t="shared" si="21"/>
        <v>8802.5</v>
      </c>
      <c r="P1285" s="43" t="s">
        <v>4704</v>
      </c>
    </row>
    <row r="1286" spans="2:16" x14ac:dyDescent="0.35">
      <c r="B1286" s="72" t="s">
        <v>5788</v>
      </c>
      <c r="C1286" s="89" t="s">
        <v>5910</v>
      </c>
      <c r="D1286" s="36">
        <v>45505</v>
      </c>
      <c r="E1286" s="36">
        <v>45617</v>
      </c>
      <c r="F1286" s="36">
        <v>45981</v>
      </c>
      <c r="G1286" s="64" t="s">
        <v>6</v>
      </c>
      <c r="H1286" s="72" t="s">
        <v>5932</v>
      </c>
      <c r="I1286" s="35" t="s">
        <v>2872</v>
      </c>
      <c r="J1286" s="43" t="s">
        <v>5950</v>
      </c>
      <c r="K1286" s="43" t="s">
        <v>4704</v>
      </c>
      <c r="L1286" s="73">
        <v>8528</v>
      </c>
      <c r="M1286" s="30"/>
      <c r="N1286" s="30"/>
      <c r="O1286" s="30">
        <f t="shared" si="21"/>
        <v>8528</v>
      </c>
      <c r="P1286" s="43" t="s">
        <v>4704</v>
      </c>
    </row>
    <row r="1287" spans="2:16" ht="29" x14ac:dyDescent="0.35">
      <c r="B1287" s="72" t="s">
        <v>5831</v>
      </c>
      <c r="C1287" s="89" t="s">
        <v>5911</v>
      </c>
      <c r="D1287" s="36">
        <v>45505</v>
      </c>
      <c r="E1287" s="36">
        <v>45617</v>
      </c>
      <c r="F1287" s="36">
        <v>46711</v>
      </c>
      <c r="G1287" s="64" t="s">
        <v>6</v>
      </c>
      <c r="H1287" s="72" t="s">
        <v>5933</v>
      </c>
      <c r="I1287" s="35" t="s">
        <v>2485</v>
      </c>
      <c r="J1287" s="43" t="s">
        <v>5803</v>
      </c>
      <c r="K1287" s="43" t="s">
        <v>2573</v>
      </c>
      <c r="L1287" s="73">
        <v>1000</v>
      </c>
      <c r="M1287" s="30"/>
      <c r="N1287" s="30"/>
      <c r="O1287" s="30">
        <f t="shared" si="21"/>
        <v>1000</v>
      </c>
      <c r="P1287" s="43" t="s">
        <v>4552</v>
      </c>
    </row>
    <row r="1288" spans="2:16" x14ac:dyDescent="0.35">
      <c r="B1288" s="72" t="s">
        <v>5788</v>
      </c>
      <c r="C1288" s="89" t="s">
        <v>5912</v>
      </c>
      <c r="D1288" s="36">
        <v>45505</v>
      </c>
      <c r="E1288" s="36">
        <v>45617</v>
      </c>
      <c r="F1288" s="36" t="s">
        <v>5951</v>
      </c>
      <c r="G1288" s="64" t="s">
        <v>6</v>
      </c>
      <c r="H1288" s="72" t="s">
        <v>5934</v>
      </c>
      <c r="I1288" s="35" t="s">
        <v>2494</v>
      </c>
      <c r="J1288" s="43" t="s">
        <v>5950</v>
      </c>
      <c r="K1288" s="43" t="s">
        <v>4704</v>
      </c>
      <c r="L1288" s="73">
        <v>10000</v>
      </c>
      <c r="M1288" s="30"/>
      <c r="N1288" s="30"/>
      <c r="O1288" s="30">
        <f t="shared" si="21"/>
        <v>10000</v>
      </c>
      <c r="P1288" s="43" t="s">
        <v>4704</v>
      </c>
    </row>
    <row r="1289" spans="2:16" x14ac:dyDescent="0.35">
      <c r="B1289" s="72" t="s">
        <v>5788</v>
      </c>
      <c r="C1289" s="89" t="s">
        <v>5913</v>
      </c>
      <c r="D1289" s="36">
        <v>45505</v>
      </c>
      <c r="E1289" s="36">
        <v>45618</v>
      </c>
      <c r="F1289" s="36">
        <v>45982</v>
      </c>
      <c r="G1289" s="64" t="s">
        <v>6</v>
      </c>
      <c r="H1289" s="72" t="s">
        <v>5935</v>
      </c>
      <c r="I1289" s="35" t="s">
        <v>2480</v>
      </c>
      <c r="J1289" s="43" t="s">
        <v>5950</v>
      </c>
      <c r="K1289" s="43" t="s">
        <v>4704</v>
      </c>
      <c r="L1289" s="73">
        <v>10000</v>
      </c>
      <c r="M1289" s="30"/>
      <c r="N1289" s="30"/>
      <c r="O1289" s="30">
        <f t="shared" si="21"/>
        <v>10000</v>
      </c>
      <c r="P1289" s="43" t="s">
        <v>4704</v>
      </c>
    </row>
    <row r="1290" spans="2:16" x14ac:dyDescent="0.35">
      <c r="B1290" s="72" t="s">
        <v>5788</v>
      </c>
      <c r="C1290" s="89" t="s">
        <v>5914</v>
      </c>
      <c r="D1290" s="36">
        <v>45505</v>
      </c>
      <c r="E1290" s="36">
        <v>45618</v>
      </c>
      <c r="F1290" s="36">
        <v>45982</v>
      </c>
      <c r="G1290" s="64" t="s">
        <v>6</v>
      </c>
      <c r="H1290" s="72" t="s">
        <v>5936</v>
      </c>
      <c r="I1290" s="35" t="s">
        <v>2500</v>
      </c>
      <c r="J1290" s="43" t="s">
        <v>5950</v>
      </c>
      <c r="K1290" s="43" t="s">
        <v>4704</v>
      </c>
      <c r="L1290" s="73">
        <v>10000</v>
      </c>
      <c r="M1290" s="30"/>
      <c r="N1290" s="30"/>
      <c r="O1290" s="30">
        <f t="shared" si="21"/>
        <v>10000</v>
      </c>
      <c r="P1290" s="43" t="s">
        <v>4704</v>
      </c>
    </row>
    <row r="1291" spans="2:16" x14ac:dyDescent="0.35">
      <c r="B1291" s="72" t="s">
        <v>5788</v>
      </c>
      <c r="C1291" s="89" t="s">
        <v>5915</v>
      </c>
      <c r="D1291" s="36">
        <v>45505</v>
      </c>
      <c r="E1291" s="36">
        <v>45618</v>
      </c>
      <c r="F1291" s="36">
        <v>45617</v>
      </c>
      <c r="G1291" s="64" t="s">
        <v>6</v>
      </c>
      <c r="H1291" s="72" t="s">
        <v>5937</v>
      </c>
      <c r="I1291" s="35" t="s">
        <v>2480</v>
      </c>
      <c r="J1291" s="43" t="s">
        <v>5950</v>
      </c>
      <c r="K1291" s="43" t="s">
        <v>4704</v>
      </c>
      <c r="L1291" s="73">
        <v>10000</v>
      </c>
      <c r="M1291" s="30"/>
      <c r="N1291" s="30">
        <f>10000</f>
        <v>10000</v>
      </c>
      <c r="O1291" s="30">
        <f t="shared" si="21"/>
        <v>0</v>
      </c>
      <c r="P1291" s="43" t="s">
        <v>4704</v>
      </c>
    </row>
    <row r="1292" spans="2:16" x14ac:dyDescent="0.35">
      <c r="B1292" s="72" t="s">
        <v>5788</v>
      </c>
      <c r="C1292" s="89" t="s">
        <v>5916</v>
      </c>
      <c r="D1292" s="36">
        <v>45505</v>
      </c>
      <c r="E1292" s="36">
        <v>45621</v>
      </c>
      <c r="F1292" s="36">
        <v>46166</v>
      </c>
      <c r="G1292" s="64" t="s">
        <v>6</v>
      </c>
      <c r="H1292" s="72" t="s">
        <v>5938</v>
      </c>
      <c r="I1292" s="35" t="s">
        <v>2500</v>
      </c>
      <c r="J1292" s="43" t="s">
        <v>5950</v>
      </c>
      <c r="K1292" s="43" t="s">
        <v>4704</v>
      </c>
      <c r="L1292" s="73">
        <v>5000</v>
      </c>
      <c r="M1292" s="30"/>
      <c r="N1292" s="30"/>
      <c r="O1292" s="30">
        <f t="shared" si="21"/>
        <v>5000</v>
      </c>
      <c r="P1292" s="43" t="s">
        <v>4704</v>
      </c>
    </row>
    <row r="1293" spans="2:16" x14ac:dyDescent="0.35">
      <c r="B1293" s="72" t="s">
        <v>5788</v>
      </c>
      <c r="C1293" s="89" t="s">
        <v>5917</v>
      </c>
      <c r="D1293" s="36">
        <v>45505</v>
      </c>
      <c r="E1293" s="36">
        <v>45621</v>
      </c>
      <c r="F1293" s="36">
        <v>45985</v>
      </c>
      <c r="G1293" s="64" t="s">
        <v>6</v>
      </c>
      <c r="H1293" s="72" t="s">
        <v>5939</v>
      </c>
      <c r="I1293" s="35" t="s">
        <v>2642</v>
      </c>
      <c r="J1293" s="43" t="s">
        <v>5950</v>
      </c>
      <c r="K1293" s="43" t="s">
        <v>4704</v>
      </c>
      <c r="L1293" s="73">
        <v>10000</v>
      </c>
      <c r="M1293" s="30"/>
      <c r="N1293" s="30"/>
      <c r="O1293" s="30">
        <f t="shared" si="21"/>
        <v>10000</v>
      </c>
      <c r="P1293" s="43" t="s">
        <v>4704</v>
      </c>
    </row>
    <row r="1294" spans="2:16" x14ac:dyDescent="0.35">
      <c r="B1294" s="72" t="s">
        <v>5788</v>
      </c>
      <c r="C1294" s="89" t="s">
        <v>5918</v>
      </c>
      <c r="D1294" s="36">
        <v>45505</v>
      </c>
      <c r="E1294" s="36">
        <v>45621</v>
      </c>
      <c r="F1294" s="36">
        <v>45985</v>
      </c>
      <c r="G1294" s="64" t="s">
        <v>6</v>
      </c>
      <c r="H1294" s="72" t="s">
        <v>5940</v>
      </c>
      <c r="I1294" s="35" t="s">
        <v>2480</v>
      </c>
      <c r="J1294" s="43" t="s">
        <v>5950</v>
      </c>
      <c r="K1294" s="43" t="s">
        <v>4704</v>
      </c>
      <c r="L1294" s="73">
        <v>10000</v>
      </c>
      <c r="M1294" s="30"/>
      <c r="N1294" s="30">
        <f>2124</f>
        <v>2124</v>
      </c>
      <c r="O1294" s="30">
        <f t="shared" si="21"/>
        <v>7876</v>
      </c>
      <c r="P1294" s="43" t="s">
        <v>4704</v>
      </c>
    </row>
    <row r="1295" spans="2:16" x14ac:dyDescent="0.35">
      <c r="B1295" s="72" t="s">
        <v>5886</v>
      </c>
      <c r="C1295" s="89" t="s">
        <v>5919</v>
      </c>
      <c r="D1295" s="36">
        <v>45603</v>
      </c>
      <c r="E1295" s="36">
        <v>45621</v>
      </c>
      <c r="F1295" s="36">
        <v>45688</v>
      </c>
      <c r="G1295" s="64" t="s">
        <v>6</v>
      </c>
      <c r="H1295" s="72" t="s">
        <v>5941</v>
      </c>
      <c r="I1295" s="35" t="s">
        <v>2505</v>
      </c>
      <c r="J1295" s="43" t="s">
        <v>6531</v>
      </c>
      <c r="K1295" s="43" t="s">
        <v>4704</v>
      </c>
      <c r="L1295" s="73">
        <v>25000</v>
      </c>
      <c r="M1295" s="30"/>
      <c r="N1295" s="30">
        <v>20000</v>
      </c>
      <c r="O1295" s="30">
        <f t="shared" ref="O1295:O1310" si="22">L1295-M1295-N1295</f>
        <v>5000</v>
      </c>
      <c r="P1295" s="43" t="s">
        <v>2977</v>
      </c>
    </row>
    <row r="1296" spans="2:16" x14ac:dyDescent="0.35">
      <c r="B1296" s="72" t="s">
        <v>5887</v>
      </c>
      <c r="C1296" s="89" t="s">
        <v>5920</v>
      </c>
      <c r="D1296" s="36">
        <v>45505</v>
      </c>
      <c r="E1296" s="36">
        <v>45621</v>
      </c>
      <c r="F1296" s="36">
        <v>45985</v>
      </c>
      <c r="G1296" s="64" t="s">
        <v>6</v>
      </c>
      <c r="H1296" s="72" t="s">
        <v>187</v>
      </c>
      <c r="I1296" s="35" t="s">
        <v>2480</v>
      </c>
      <c r="J1296" s="43" t="s">
        <v>4704</v>
      </c>
      <c r="K1296" s="43" t="s">
        <v>2692</v>
      </c>
      <c r="L1296" s="73">
        <v>310000</v>
      </c>
      <c r="M1296" s="30"/>
      <c r="N1296" s="30"/>
      <c r="O1296" s="30">
        <f t="shared" si="22"/>
        <v>310000</v>
      </c>
      <c r="P1296" s="43" t="s">
        <v>4704</v>
      </c>
    </row>
    <row r="1297" spans="2:16" x14ac:dyDescent="0.35">
      <c r="B1297" s="35" t="s">
        <v>5953</v>
      </c>
      <c r="C1297" s="94" t="s">
        <v>5954</v>
      </c>
      <c r="D1297" s="36">
        <v>45548</v>
      </c>
      <c r="E1297" s="36">
        <v>45548</v>
      </c>
      <c r="F1297" s="36">
        <v>45792</v>
      </c>
      <c r="G1297" s="64" t="s">
        <v>6</v>
      </c>
      <c r="H1297" s="43" t="s">
        <v>4109</v>
      </c>
      <c r="I1297" s="35" t="s">
        <v>2540</v>
      </c>
      <c r="J1297" s="43" t="s">
        <v>5955</v>
      </c>
      <c r="K1297" s="43" t="s">
        <v>2581</v>
      </c>
      <c r="L1297" s="30">
        <v>28069</v>
      </c>
      <c r="M1297" s="30">
        <v>0</v>
      </c>
      <c r="N1297" s="30">
        <f>28069</f>
        <v>28069</v>
      </c>
      <c r="O1297" s="30">
        <f t="shared" si="22"/>
        <v>0</v>
      </c>
      <c r="P1297" s="43" t="s">
        <v>2874</v>
      </c>
    </row>
    <row r="1298" spans="2:16" x14ac:dyDescent="0.35">
      <c r="B1298" s="35" t="s">
        <v>5956</v>
      </c>
      <c r="C1298" s="94" t="s">
        <v>5957</v>
      </c>
      <c r="D1298" s="36">
        <v>45548</v>
      </c>
      <c r="E1298" s="36">
        <v>45548</v>
      </c>
      <c r="F1298" s="36">
        <v>45792</v>
      </c>
      <c r="G1298" s="64" t="s">
        <v>6</v>
      </c>
      <c r="H1298" s="43" t="s">
        <v>4109</v>
      </c>
      <c r="I1298" s="35" t="s">
        <v>2540</v>
      </c>
      <c r="J1298" s="43" t="s">
        <v>5955</v>
      </c>
      <c r="K1298" s="43" t="s">
        <v>2581</v>
      </c>
      <c r="L1298" s="30">
        <v>34614</v>
      </c>
      <c r="M1298" s="30">
        <v>0</v>
      </c>
      <c r="N1298" s="30">
        <f>34614</f>
        <v>34614</v>
      </c>
      <c r="O1298" s="30">
        <f t="shared" si="22"/>
        <v>0</v>
      </c>
      <c r="P1298" s="43" t="s">
        <v>2874</v>
      </c>
    </row>
    <row r="1299" spans="2:16" x14ac:dyDescent="0.35">
      <c r="B1299" s="35" t="s">
        <v>5958</v>
      </c>
      <c r="C1299" s="80" t="s">
        <v>5959</v>
      </c>
      <c r="D1299" s="36">
        <v>45534</v>
      </c>
      <c r="E1299" s="36">
        <v>45534</v>
      </c>
      <c r="F1299" s="36">
        <v>45763</v>
      </c>
      <c r="G1299" s="64" t="s">
        <v>6</v>
      </c>
      <c r="H1299" s="35" t="s">
        <v>3139</v>
      </c>
      <c r="I1299" s="35" t="s">
        <v>2484</v>
      </c>
      <c r="J1299" s="43" t="s">
        <v>5073</v>
      </c>
      <c r="K1299" s="43" t="s">
        <v>2581</v>
      </c>
      <c r="L1299" s="30">
        <v>3738</v>
      </c>
      <c r="M1299" s="30">
        <v>0</v>
      </c>
      <c r="N1299" s="30">
        <v>3738</v>
      </c>
      <c r="O1299" s="30">
        <f t="shared" si="22"/>
        <v>0</v>
      </c>
      <c r="P1299" s="43" t="s">
        <v>2874</v>
      </c>
    </row>
    <row r="1300" spans="2:16" x14ac:dyDescent="0.35">
      <c r="B1300" s="35" t="s">
        <v>5960</v>
      </c>
      <c r="C1300" s="80" t="s">
        <v>5961</v>
      </c>
      <c r="D1300" s="36">
        <v>45544</v>
      </c>
      <c r="E1300" s="36">
        <v>45544</v>
      </c>
      <c r="F1300" s="36">
        <v>45763</v>
      </c>
      <c r="G1300" s="64" t="s">
        <v>6</v>
      </c>
      <c r="H1300" s="35" t="s">
        <v>3139</v>
      </c>
      <c r="I1300" s="35" t="s">
        <v>2484</v>
      </c>
      <c r="J1300" s="43" t="s">
        <v>5073</v>
      </c>
      <c r="K1300" s="43" t="s">
        <v>2581</v>
      </c>
      <c r="L1300" s="30">
        <v>2698</v>
      </c>
      <c r="M1300" s="30">
        <v>0</v>
      </c>
      <c r="N1300" s="30">
        <v>2698</v>
      </c>
      <c r="O1300" s="30">
        <f t="shared" si="22"/>
        <v>0</v>
      </c>
      <c r="P1300" s="43" t="s">
        <v>2874</v>
      </c>
    </row>
    <row r="1301" spans="2:16" x14ac:dyDescent="0.35">
      <c r="B1301" s="35" t="s">
        <v>5971</v>
      </c>
      <c r="C1301" s="80" t="s">
        <v>5962</v>
      </c>
      <c r="D1301" s="36">
        <v>45552</v>
      </c>
      <c r="E1301" s="36">
        <v>45552</v>
      </c>
      <c r="F1301" s="36">
        <v>45838</v>
      </c>
      <c r="G1301" s="64" t="s">
        <v>6</v>
      </c>
      <c r="H1301" s="35" t="s">
        <v>849</v>
      </c>
      <c r="I1301" s="35" t="s">
        <v>2506</v>
      </c>
      <c r="J1301" s="43" t="s">
        <v>5283</v>
      </c>
      <c r="K1301" s="43" t="s">
        <v>2581</v>
      </c>
      <c r="L1301" s="30">
        <v>9718</v>
      </c>
      <c r="M1301" s="30">
        <v>0</v>
      </c>
      <c r="N1301" s="30">
        <f>1839.6+7878.4</f>
        <v>9718</v>
      </c>
      <c r="O1301" s="30">
        <f t="shared" si="22"/>
        <v>0</v>
      </c>
      <c r="P1301" s="43" t="s">
        <v>2874</v>
      </c>
    </row>
    <row r="1302" spans="2:16" x14ac:dyDescent="0.35">
      <c r="B1302" s="35" t="s">
        <v>5963</v>
      </c>
      <c r="C1302" s="80" t="s">
        <v>5964</v>
      </c>
      <c r="D1302" s="36">
        <v>45552</v>
      </c>
      <c r="E1302" s="36">
        <v>45552</v>
      </c>
      <c r="F1302" s="36">
        <v>45838</v>
      </c>
      <c r="G1302" s="64" t="s">
        <v>6</v>
      </c>
      <c r="H1302" s="35" t="s">
        <v>849</v>
      </c>
      <c r="I1302" s="35" t="s">
        <v>2506</v>
      </c>
      <c r="J1302" s="43" t="s">
        <v>5283</v>
      </c>
      <c r="K1302" s="43" t="s">
        <v>2581</v>
      </c>
      <c r="L1302" s="30">
        <v>9423</v>
      </c>
      <c r="M1302" s="30">
        <v>0</v>
      </c>
      <c r="N1302" s="30">
        <v>9423</v>
      </c>
      <c r="O1302" s="30">
        <f t="shared" si="22"/>
        <v>0</v>
      </c>
      <c r="P1302" s="43" t="s">
        <v>2874</v>
      </c>
    </row>
    <row r="1303" spans="2:16" x14ac:dyDescent="0.35">
      <c r="B1303" s="76" t="s">
        <v>5965</v>
      </c>
      <c r="C1303" s="98" t="s">
        <v>5966</v>
      </c>
      <c r="D1303" s="36">
        <v>45559</v>
      </c>
      <c r="E1303" s="36">
        <v>45559</v>
      </c>
      <c r="F1303" s="36">
        <v>45784</v>
      </c>
      <c r="G1303" s="64" t="s">
        <v>6</v>
      </c>
      <c r="H1303" s="43" t="s">
        <v>2811</v>
      </c>
      <c r="I1303" s="35" t="s">
        <v>2485</v>
      </c>
      <c r="J1303" s="43" t="s">
        <v>5275</v>
      </c>
      <c r="K1303" s="43" t="s">
        <v>2581</v>
      </c>
      <c r="L1303" s="30">
        <v>15414</v>
      </c>
      <c r="M1303" s="30">
        <v>0</v>
      </c>
      <c r="N1303" s="30">
        <v>15414</v>
      </c>
      <c r="O1303" s="30">
        <f t="shared" si="22"/>
        <v>0</v>
      </c>
      <c r="P1303" s="43" t="s">
        <v>2874</v>
      </c>
    </row>
    <row r="1304" spans="2:16" ht="29" x14ac:dyDescent="0.35">
      <c r="B1304" s="35" t="s">
        <v>5967</v>
      </c>
      <c r="C1304" s="80" t="s">
        <v>5968</v>
      </c>
      <c r="D1304" s="36">
        <v>45527</v>
      </c>
      <c r="E1304" s="36">
        <v>45527</v>
      </c>
      <c r="F1304" s="36">
        <v>45792</v>
      </c>
      <c r="G1304" s="64" t="s">
        <v>6</v>
      </c>
      <c r="H1304" s="35" t="s">
        <v>1423</v>
      </c>
      <c r="I1304" s="35" t="s">
        <v>2540</v>
      </c>
      <c r="J1304" s="43" t="s">
        <v>5664</v>
      </c>
      <c r="K1304" s="43" t="s">
        <v>2581</v>
      </c>
      <c r="L1304" s="30">
        <v>9969</v>
      </c>
      <c r="M1304" s="30">
        <v>0</v>
      </c>
      <c r="N1304" s="30">
        <v>9969</v>
      </c>
      <c r="O1304" s="30">
        <f t="shared" si="22"/>
        <v>0</v>
      </c>
      <c r="P1304" s="44" t="s">
        <v>2874</v>
      </c>
    </row>
    <row r="1305" spans="2:16" x14ac:dyDescent="0.35">
      <c r="B1305" s="35" t="s">
        <v>5969</v>
      </c>
      <c r="C1305" s="80" t="s">
        <v>5970</v>
      </c>
      <c r="D1305" s="36">
        <v>45527</v>
      </c>
      <c r="E1305" s="36">
        <v>45527</v>
      </c>
      <c r="F1305" s="36">
        <v>45758</v>
      </c>
      <c r="G1305" s="64" t="s">
        <v>6</v>
      </c>
      <c r="H1305" s="35" t="s">
        <v>3193</v>
      </c>
      <c r="I1305" s="35" t="s">
        <v>2518</v>
      </c>
      <c r="J1305" s="43" t="s">
        <v>5072</v>
      </c>
      <c r="K1305" s="43" t="s">
        <v>2581</v>
      </c>
      <c r="L1305" s="30">
        <v>5122</v>
      </c>
      <c r="M1305" s="30">
        <v>0</v>
      </c>
      <c r="N1305" s="30">
        <v>5122</v>
      </c>
      <c r="O1305" s="30">
        <f t="shared" si="22"/>
        <v>0</v>
      </c>
      <c r="P1305" s="44" t="s">
        <v>2874</v>
      </c>
    </row>
    <row r="1306" spans="2:16" ht="29" x14ac:dyDescent="0.35">
      <c r="B1306" s="72" t="s">
        <v>5788</v>
      </c>
      <c r="C1306" s="89" t="s">
        <v>6021</v>
      </c>
      <c r="D1306" s="36">
        <v>45505</v>
      </c>
      <c r="E1306" s="36">
        <v>45621</v>
      </c>
      <c r="F1306" s="36">
        <v>46166</v>
      </c>
      <c r="G1306" s="64" t="s">
        <v>6</v>
      </c>
      <c r="H1306" s="72" t="s">
        <v>6022</v>
      </c>
      <c r="I1306" s="35" t="s">
        <v>2507</v>
      </c>
      <c r="J1306" s="75" t="s">
        <v>4704</v>
      </c>
      <c r="K1306" s="43" t="s">
        <v>4704</v>
      </c>
      <c r="L1306" s="73">
        <v>5000</v>
      </c>
      <c r="M1306" s="30">
        <v>0</v>
      </c>
      <c r="N1306" s="30"/>
      <c r="O1306" s="30">
        <f t="shared" si="22"/>
        <v>5000</v>
      </c>
      <c r="P1306" s="44"/>
    </row>
    <row r="1307" spans="2:16" ht="29" x14ac:dyDescent="0.35">
      <c r="B1307" s="72" t="s">
        <v>5831</v>
      </c>
      <c r="C1307" s="89" t="s">
        <v>5994</v>
      </c>
      <c r="D1307" s="36">
        <v>45505</v>
      </c>
      <c r="E1307" s="36">
        <v>45623</v>
      </c>
      <c r="F1307" s="36">
        <v>46352</v>
      </c>
      <c r="G1307" s="64" t="s">
        <v>5683</v>
      </c>
      <c r="H1307" s="72" t="s">
        <v>6023</v>
      </c>
      <c r="I1307" s="35" t="s">
        <v>2480</v>
      </c>
      <c r="J1307" s="43" t="s">
        <v>5803</v>
      </c>
      <c r="K1307" s="43" t="s">
        <v>2573</v>
      </c>
      <c r="L1307" s="73">
        <v>1017</v>
      </c>
      <c r="M1307" s="30">
        <v>17</v>
      </c>
      <c r="N1307" s="30">
        <f>1000</f>
        <v>1000</v>
      </c>
      <c r="O1307" s="30">
        <f t="shared" si="22"/>
        <v>0</v>
      </c>
      <c r="P1307" s="43" t="s">
        <v>6520</v>
      </c>
    </row>
    <row r="1308" spans="2:16" ht="29" x14ac:dyDescent="0.35">
      <c r="B1308" s="72" t="s">
        <v>5788</v>
      </c>
      <c r="C1308" s="89" t="s">
        <v>5995</v>
      </c>
      <c r="D1308" s="36">
        <v>45505</v>
      </c>
      <c r="E1308" s="36">
        <v>45628</v>
      </c>
      <c r="F1308" s="36">
        <v>46174</v>
      </c>
      <c r="G1308" s="64" t="s">
        <v>6</v>
      </c>
      <c r="H1308" s="72" t="s">
        <v>6025</v>
      </c>
      <c r="I1308" s="35" t="s">
        <v>2543</v>
      </c>
      <c r="J1308" s="75" t="s">
        <v>4704</v>
      </c>
      <c r="K1308" s="43" t="s">
        <v>4819</v>
      </c>
      <c r="L1308" s="73">
        <v>5000</v>
      </c>
      <c r="M1308" s="30">
        <v>0</v>
      </c>
      <c r="N1308" s="30"/>
      <c r="O1308" s="30">
        <f t="shared" si="22"/>
        <v>5000</v>
      </c>
      <c r="P1308" s="43"/>
    </row>
    <row r="1309" spans="2:16" ht="29" x14ac:dyDescent="0.35">
      <c r="B1309" s="72" t="s">
        <v>5974</v>
      </c>
      <c r="C1309" s="89" t="s">
        <v>5996</v>
      </c>
      <c r="D1309" s="36">
        <v>45588</v>
      </c>
      <c r="E1309" s="36">
        <v>45629</v>
      </c>
      <c r="F1309" s="36">
        <v>46022</v>
      </c>
      <c r="G1309" s="64" t="s">
        <v>6</v>
      </c>
      <c r="H1309" s="72" t="s">
        <v>3193</v>
      </c>
      <c r="I1309" s="35" t="s">
        <v>2518</v>
      </c>
      <c r="J1309" s="75" t="s">
        <v>6034</v>
      </c>
      <c r="K1309" s="43" t="s">
        <v>2581</v>
      </c>
      <c r="L1309" s="73">
        <v>5091</v>
      </c>
      <c r="M1309" s="30">
        <v>0</v>
      </c>
      <c r="N1309" s="30">
        <f>5091</f>
        <v>5091</v>
      </c>
      <c r="O1309" s="30">
        <f t="shared" si="22"/>
        <v>0</v>
      </c>
      <c r="P1309" s="44" t="s">
        <v>2874</v>
      </c>
    </row>
    <row r="1310" spans="2:16" x14ac:dyDescent="0.35">
      <c r="B1310" s="72" t="s">
        <v>5975</v>
      </c>
      <c r="C1310" s="89" t="s">
        <v>5997</v>
      </c>
      <c r="D1310" s="36">
        <v>45629</v>
      </c>
      <c r="E1310" s="36">
        <v>45632</v>
      </c>
      <c r="F1310" s="36">
        <v>46568</v>
      </c>
      <c r="G1310" s="64" t="s">
        <v>6</v>
      </c>
      <c r="H1310" s="72" t="s">
        <v>2915</v>
      </c>
      <c r="I1310" s="35" t="s">
        <v>2653</v>
      </c>
      <c r="J1310" s="38" t="s">
        <v>4526</v>
      </c>
      <c r="K1310" s="43" t="s">
        <v>5076</v>
      </c>
      <c r="L1310" s="73">
        <v>50000</v>
      </c>
      <c r="M1310" s="30">
        <v>0</v>
      </c>
      <c r="N1310" s="30"/>
      <c r="O1310" s="30">
        <f t="shared" si="22"/>
        <v>50000</v>
      </c>
      <c r="P1310" s="43"/>
    </row>
    <row r="1311" spans="2:16" x14ac:dyDescent="0.35">
      <c r="B1311" s="72" t="s">
        <v>5977</v>
      </c>
      <c r="C1311" s="89" t="s">
        <v>5998</v>
      </c>
      <c r="D1311" s="36">
        <v>45549</v>
      </c>
      <c r="E1311" s="36">
        <v>45637</v>
      </c>
      <c r="F1311" s="36">
        <v>47462</v>
      </c>
      <c r="G1311" s="64" t="s">
        <v>6</v>
      </c>
      <c r="H1311" s="72" t="s">
        <v>6026</v>
      </c>
      <c r="I1311" s="35" t="s">
        <v>2503</v>
      </c>
      <c r="J1311" s="75" t="s">
        <v>5766</v>
      </c>
      <c r="K1311" s="43" t="s">
        <v>5847</v>
      </c>
      <c r="L1311" s="73">
        <v>1560000</v>
      </c>
      <c r="M1311" s="30">
        <v>0</v>
      </c>
      <c r="N1311" s="30"/>
      <c r="O1311" s="30">
        <f t="shared" ref="O1311:O1331" si="23">L1311-M1311-N1311</f>
        <v>1560000</v>
      </c>
      <c r="P1311" s="44">
        <v>46.64</v>
      </c>
    </row>
    <row r="1312" spans="2:16" x14ac:dyDescent="0.35">
      <c r="B1312" s="72" t="s">
        <v>5978</v>
      </c>
      <c r="C1312" s="89" t="s">
        <v>5999</v>
      </c>
      <c r="D1312" s="36">
        <v>45549</v>
      </c>
      <c r="E1312" s="36">
        <v>45637</v>
      </c>
      <c r="F1312" s="36">
        <v>47462</v>
      </c>
      <c r="G1312" s="64" t="s">
        <v>6</v>
      </c>
      <c r="H1312" s="72" t="s">
        <v>6026</v>
      </c>
      <c r="I1312" s="35" t="s">
        <v>2503</v>
      </c>
      <c r="J1312" s="75" t="s">
        <v>5793</v>
      </c>
      <c r="K1312" s="43" t="s">
        <v>2583</v>
      </c>
      <c r="L1312" s="73">
        <v>85000</v>
      </c>
      <c r="M1312" s="30">
        <v>0</v>
      </c>
      <c r="N1312" s="30"/>
      <c r="O1312" s="30">
        <f t="shared" si="23"/>
        <v>85000</v>
      </c>
      <c r="P1312" s="44">
        <v>46.64</v>
      </c>
    </row>
    <row r="1313" spans="2:16" x14ac:dyDescent="0.35">
      <c r="B1313" s="72" t="s">
        <v>5979</v>
      </c>
      <c r="C1313" s="89" t="s">
        <v>6000</v>
      </c>
      <c r="D1313" s="36">
        <v>45617</v>
      </c>
      <c r="E1313" s="36">
        <v>45637</v>
      </c>
      <c r="F1313" s="36">
        <v>47299</v>
      </c>
      <c r="G1313" s="64" t="s">
        <v>6</v>
      </c>
      <c r="H1313" s="72" t="s">
        <v>6027</v>
      </c>
      <c r="I1313" s="35" t="s">
        <v>2484</v>
      </c>
      <c r="J1313" s="75" t="s">
        <v>5793</v>
      </c>
      <c r="K1313" s="43" t="s">
        <v>2583</v>
      </c>
      <c r="L1313" s="73">
        <v>2250</v>
      </c>
      <c r="M1313" s="30">
        <v>0</v>
      </c>
      <c r="N1313" s="30"/>
      <c r="O1313" s="30">
        <f t="shared" si="23"/>
        <v>2250</v>
      </c>
      <c r="P1313" s="44">
        <v>10.01</v>
      </c>
    </row>
    <row r="1314" spans="2:16" ht="29" x14ac:dyDescent="0.35">
      <c r="B1314" s="72" t="s">
        <v>5788</v>
      </c>
      <c r="C1314" s="89" t="s">
        <v>6001</v>
      </c>
      <c r="D1314" s="36">
        <v>45505</v>
      </c>
      <c r="E1314" s="36">
        <v>45642</v>
      </c>
      <c r="F1314" s="36">
        <v>46188</v>
      </c>
      <c r="G1314" s="64" t="s">
        <v>6</v>
      </c>
      <c r="H1314" s="72" t="s">
        <v>6028</v>
      </c>
      <c r="I1314" s="35" t="s">
        <v>2522</v>
      </c>
      <c r="J1314" s="75" t="s">
        <v>4704</v>
      </c>
      <c r="K1314" s="43" t="s">
        <v>4819</v>
      </c>
      <c r="L1314" s="73">
        <v>5000</v>
      </c>
      <c r="M1314" s="30">
        <v>0</v>
      </c>
      <c r="N1314" s="30">
        <f>1125+694.5</f>
        <v>1819.5</v>
      </c>
      <c r="O1314" s="30">
        <f t="shared" si="23"/>
        <v>3180.5</v>
      </c>
      <c r="P1314" s="43"/>
    </row>
    <row r="1315" spans="2:16" x14ac:dyDescent="0.35">
      <c r="B1315" s="72" t="s">
        <v>5788</v>
      </c>
      <c r="C1315" s="89" t="s">
        <v>6002</v>
      </c>
      <c r="D1315" s="36">
        <v>45505</v>
      </c>
      <c r="E1315" s="36">
        <v>45642</v>
      </c>
      <c r="F1315" s="36">
        <v>46006</v>
      </c>
      <c r="G1315" s="64" t="s">
        <v>6</v>
      </c>
      <c r="H1315" s="72" t="s">
        <v>6029</v>
      </c>
      <c r="I1315" s="35" t="s">
        <v>2492</v>
      </c>
      <c r="J1315" s="75" t="s">
        <v>4704</v>
      </c>
      <c r="K1315" s="43" t="s">
        <v>3182</v>
      </c>
      <c r="L1315" s="73">
        <v>10000</v>
      </c>
      <c r="M1315" s="30">
        <v>0</v>
      </c>
      <c r="N1315" s="30"/>
      <c r="O1315" s="30">
        <f t="shared" si="23"/>
        <v>10000</v>
      </c>
      <c r="P1315" s="43"/>
    </row>
    <row r="1316" spans="2:16" ht="29" x14ac:dyDescent="0.35">
      <c r="B1316" s="72" t="s">
        <v>5831</v>
      </c>
      <c r="C1316" s="89" t="s">
        <v>6003</v>
      </c>
      <c r="D1316" s="36">
        <v>45505</v>
      </c>
      <c r="E1316" s="36">
        <v>45642</v>
      </c>
      <c r="F1316" s="36">
        <v>46738</v>
      </c>
      <c r="G1316" s="64" t="s">
        <v>6</v>
      </c>
      <c r="H1316" s="72" t="s">
        <v>6030</v>
      </c>
      <c r="I1316" s="35" t="s">
        <v>2480</v>
      </c>
      <c r="J1316" s="43" t="s">
        <v>5803</v>
      </c>
      <c r="K1316" s="43" t="s">
        <v>2573</v>
      </c>
      <c r="L1316" s="73">
        <v>1000</v>
      </c>
      <c r="M1316" s="30">
        <v>0</v>
      </c>
      <c r="N1316" s="30">
        <f>881.51</f>
        <v>881.51</v>
      </c>
      <c r="O1316" s="30">
        <f t="shared" si="23"/>
        <v>118.49000000000001</v>
      </c>
      <c r="P1316" s="43"/>
    </row>
    <row r="1317" spans="2:16" ht="29" x14ac:dyDescent="0.35">
      <c r="B1317" s="72" t="s">
        <v>5831</v>
      </c>
      <c r="C1317" s="89" t="s">
        <v>6004</v>
      </c>
      <c r="D1317" s="36">
        <v>45505</v>
      </c>
      <c r="E1317" s="36">
        <v>45643</v>
      </c>
      <c r="F1317" s="36">
        <v>46737</v>
      </c>
      <c r="G1317" s="64" t="s">
        <v>6</v>
      </c>
      <c r="H1317" s="72" t="s">
        <v>1239</v>
      </c>
      <c r="I1317" s="35" t="s">
        <v>2475</v>
      </c>
      <c r="J1317" s="43" t="s">
        <v>5803</v>
      </c>
      <c r="K1317" s="43" t="s">
        <v>2573</v>
      </c>
      <c r="L1317" s="73">
        <v>1000</v>
      </c>
      <c r="M1317" s="30">
        <v>0</v>
      </c>
      <c r="N1317" s="30">
        <v>1000</v>
      </c>
      <c r="O1317" s="30">
        <f t="shared" si="23"/>
        <v>0</v>
      </c>
      <c r="P1317" s="43"/>
    </row>
    <row r="1318" spans="2:16" x14ac:dyDescent="0.35">
      <c r="B1318" s="72" t="s">
        <v>5980</v>
      </c>
      <c r="C1318" s="89" t="s">
        <v>6005</v>
      </c>
      <c r="D1318" s="36">
        <v>45617</v>
      </c>
      <c r="E1318" s="36">
        <v>45643</v>
      </c>
      <c r="F1318" s="36">
        <v>47299</v>
      </c>
      <c r="G1318" s="64" t="s">
        <v>6</v>
      </c>
      <c r="H1318" s="72" t="s">
        <v>6027</v>
      </c>
      <c r="I1318" s="35" t="s">
        <v>2484</v>
      </c>
      <c r="J1318" s="75" t="s">
        <v>5766</v>
      </c>
      <c r="K1318" s="43" t="s">
        <v>5847</v>
      </c>
      <c r="L1318" s="73">
        <v>9000</v>
      </c>
      <c r="M1318" s="30">
        <v>0</v>
      </c>
      <c r="N1318" s="30"/>
      <c r="O1318" s="30">
        <f t="shared" si="23"/>
        <v>9000</v>
      </c>
      <c r="P1318" s="44">
        <v>10.01</v>
      </c>
    </row>
    <row r="1319" spans="2:16" x14ac:dyDescent="0.35">
      <c r="B1319" s="72" t="s">
        <v>5981</v>
      </c>
      <c r="C1319" s="89" t="s">
        <v>6006</v>
      </c>
      <c r="D1319" s="36">
        <v>45629</v>
      </c>
      <c r="E1319" s="36">
        <v>45643</v>
      </c>
      <c r="F1319" s="36">
        <v>47299</v>
      </c>
      <c r="G1319" s="64" t="s">
        <v>6</v>
      </c>
      <c r="H1319" s="72" t="s">
        <v>6027</v>
      </c>
      <c r="I1319" s="35" t="s">
        <v>2484</v>
      </c>
      <c r="J1319" s="75" t="s">
        <v>6035</v>
      </c>
      <c r="K1319" s="43" t="s">
        <v>5076</v>
      </c>
      <c r="L1319" s="73">
        <v>20000</v>
      </c>
      <c r="M1319" s="30">
        <v>0</v>
      </c>
      <c r="N1319" s="30"/>
      <c r="O1319" s="30">
        <f t="shared" si="23"/>
        <v>20000</v>
      </c>
      <c r="P1319" s="44">
        <v>10.01</v>
      </c>
    </row>
    <row r="1320" spans="2:16" x14ac:dyDescent="0.35">
      <c r="B1320" s="72" t="s">
        <v>5817</v>
      </c>
      <c r="C1320" s="89" t="s">
        <v>6007</v>
      </c>
      <c r="D1320" s="36">
        <v>45483</v>
      </c>
      <c r="E1320" s="36">
        <v>45644</v>
      </c>
      <c r="F1320" s="36">
        <v>47399</v>
      </c>
      <c r="G1320" s="64" t="s">
        <v>6</v>
      </c>
      <c r="H1320" s="72" t="s">
        <v>6031</v>
      </c>
      <c r="I1320" s="35" t="s">
        <v>2480</v>
      </c>
      <c r="J1320" s="75" t="s">
        <v>5793</v>
      </c>
      <c r="K1320" s="43" t="s">
        <v>2583</v>
      </c>
      <c r="L1320" s="73">
        <v>560000</v>
      </c>
      <c r="M1320" s="30">
        <v>0</v>
      </c>
      <c r="N1320" s="30"/>
      <c r="O1320" s="30">
        <f t="shared" si="23"/>
        <v>560000</v>
      </c>
      <c r="P1320" s="44">
        <v>6.93</v>
      </c>
    </row>
    <row r="1321" spans="2:16" x14ac:dyDescent="0.35">
      <c r="B1321" s="72" t="s">
        <v>5982</v>
      </c>
      <c r="C1321" s="89" t="s">
        <v>6008</v>
      </c>
      <c r="D1321" s="36">
        <v>45644</v>
      </c>
      <c r="E1321" s="36">
        <v>45645</v>
      </c>
      <c r="F1321" s="36">
        <v>46375</v>
      </c>
      <c r="G1321" s="64" t="s">
        <v>6</v>
      </c>
      <c r="H1321" s="72" t="s">
        <v>6032</v>
      </c>
      <c r="I1321" s="35" t="s">
        <v>2504</v>
      </c>
      <c r="J1321" s="75" t="s">
        <v>6035</v>
      </c>
      <c r="K1321" s="43" t="s">
        <v>5076</v>
      </c>
      <c r="L1321" s="73">
        <v>50000</v>
      </c>
      <c r="M1321" s="30">
        <v>0</v>
      </c>
      <c r="N1321" s="30"/>
      <c r="O1321" s="30">
        <f t="shared" si="23"/>
        <v>50000</v>
      </c>
      <c r="P1321" s="44">
        <v>15.12</v>
      </c>
    </row>
    <row r="1322" spans="2:16" x14ac:dyDescent="0.35">
      <c r="B1322" s="72" t="s">
        <v>5872</v>
      </c>
      <c r="C1322" s="89" t="s">
        <v>6009</v>
      </c>
      <c r="D1322" s="56">
        <v>45603</v>
      </c>
      <c r="E1322" s="36">
        <v>45645</v>
      </c>
      <c r="F1322" s="36">
        <v>47797</v>
      </c>
      <c r="G1322" s="64" t="s">
        <v>6</v>
      </c>
      <c r="H1322" s="72" t="s">
        <v>5925</v>
      </c>
      <c r="I1322" s="35" t="s">
        <v>2483</v>
      </c>
      <c r="J1322" s="75" t="s">
        <v>5766</v>
      </c>
      <c r="K1322" s="43" t="s">
        <v>5847</v>
      </c>
      <c r="L1322" s="73">
        <v>6300000</v>
      </c>
      <c r="M1322" s="30">
        <v>0</v>
      </c>
      <c r="N1322" s="30"/>
      <c r="O1322" s="30">
        <f t="shared" si="23"/>
        <v>6300000</v>
      </c>
      <c r="P1322" s="44">
        <v>55.91</v>
      </c>
    </row>
    <row r="1323" spans="2:16" x14ac:dyDescent="0.35">
      <c r="B1323" s="72" t="s">
        <v>5983</v>
      </c>
      <c r="C1323" s="89" t="s">
        <v>6010</v>
      </c>
      <c r="D1323" s="36">
        <v>45644</v>
      </c>
      <c r="E1323" s="36">
        <v>45646</v>
      </c>
      <c r="F1323" s="36">
        <v>47471</v>
      </c>
      <c r="G1323" s="64" t="s">
        <v>6</v>
      </c>
      <c r="H1323" s="72" t="s">
        <v>6032</v>
      </c>
      <c r="I1323" s="35" t="s">
        <v>2504</v>
      </c>
      <c r="J1323" s="75" t="s">
        <v>5766</v>
      </c>
      <c r="K1323" s="43" t="s">
        <v>5847</v>
      </c>
      <c r="L1323" s="73">
        <v>90000</v>
      </c>
      <c r="M1323" s="30">
        <v>0</v>
      </c>
      <c r="N1323" s="30"/>
      <c r="O1323" s="30">
        <f t="shared" si="23"/>
        <v>90000</v>
      </c>
      <c r="P1323" s="44">
        <v>15.12</v>
      </c>
    </row>
    <row r="1324" spans="2:16" x14ac:dyDescent="0.35">
      <c r="B1324" s="72" t="s">
        <v>5984</v>
      </c>
      <c r="C1324" s="89" t="s">
        <v>6011</v>
      </c>
      <c r="D1324" s="36">
        <v>45644</v>
      </c>
      <c r="E1324" s="36">
        <v>45646</v>
      </c>
      <c r="F1324" s="36">
        <v>46740</v>
      </c>
      <c r="G1324" s="64" t="s">
        <v>6</v>
      </c>
      <c r="H1324" s="72" t="s">
        <v>6032</v>
      </c>
      <c r="I1324" s="35" t="s">
        <v>2504</v>
      </c>
      <c r="J1324" s="75" t="s">
        <v>5793</v>
      </c>
      <c r="K1324" s="43" t="s">
        <v>2583</v>
      </c>
      <c r="L1324" s="73">
        <v>32250</v>
      </c>
      <c r="M1324" s="30">
        <v>0</v>
      </c>
      <c r="N1324" s="30"/>
      <c r="O1324" s="30">
        <f t="shared" si="23"/>
        <v>32250</v>
      </c>
      <c r="P1324" s="44">
        <v>15.12</v>
      </c>
    </row>
    <row r="1325" spans="2:16" ht="29" x14ac:dyDescent="0.35">
      <c r="B1325" s="72" t="s">
        <v>5985</v>
      </c>
      <c r="C1325" s="89" t="s">
        <v>6012</v>
      </c>
      <c r="D1325" s="36">
        <v>45628</v>
      </c>
      <c r="E1325" s="36">
        <v>45649</v>
      </c>
      <c r="F1325" s="36">
        <v>45930</v>
      </c>
      <c r="G1325" s="64" t="s">
        <v>6</v>
      </c>
      <c r="H1325" s="72" t="s">
        <v>849</v>
      </c>
      <c r="I1325" s="35" t="s">
        <v>5943</v>
      </c>
      <c r="J1325" s="75" t="s">
        <v>6034</v>
      </c>
      <c r="K1325" s="43" t="s">
        <v>2581</v>
      </c>
      <c r="L1325" s="73">
        <v>37000</v>
      </c>
      <c r="M1325" s="30">
        <v>0</v>
      </c>
      <c r="N1325" s="30">
        <f>6798+8852</f>
        <v>15650</v>
      </c>
      <c r="O1325" s="30">
        <f t="shared" si="23"/>
        <v>21350</v>
      </c>
      <c r="P1325" s="43" t="s">
        <v>2874</v>
      </c>
    </row>
    <row r="1326" spans="2:16" ht="29" x14ac:dyDescent="0.35">
      <c r="B1326" s="72" t="s">
        <v>5986</v>
      </c>
      <c r="C1326" s="89" t="s">
        <v>6013</v>
      </c>
      <c r="D1326" s="36">
        <v>45618</v>
      </c>
      <c r="E1326" s="36">
        <v>45649</v>
      </c>
      <c r="F1326" s="36">
        <v>45930</v>
      </c>
      <c r="G1326" s="64" t="s">
        <v>6</v>
      </c>
      <c r="H1326" s="72" t="s">
        <v>2811</v>
      </c>
      <c r="I1326" s="35" t="s">
        <v>2485</v>
      </c>
      <c r="J1326" s="75" t="s">
        <v>6034</v>
      </c>
      <c r="K1326" s="43" t="s">
        <v>2581</v>
      </c>
      <c r="L1326" s="73">
        <v>69000</v>
      </c>
      <c r="M1326" s="30">
        <v>0</v>
      </c>
      <c r="N1326" s="30">
        <f>11715+15928</f>
        <v>27643</v>
      </c>
      <c r="O1326" s="30">
        <f t="shared" si="23"/>
        <v>41357</v>
      </c>
      <c r="P1326" s="43" t="s">
        <v>6088</v>
      </c>
    </row>
    <row r="1327" spans="2:16" ht="29" x14ac:dyDescent="0.35">
      <c r="B1327" s="72" t="s">
        <v>5987</v>
      </c>
      <c r="C1327" s="89" t="s">
        <v>6014</v>
      </c>
      <c r="D1327" s="36">
        <v>45617</v>
      </c>
      <c r="E1327" s="36">
        <v>45649</v>
      </c>
      <c r="F1327" s="36">
        <v>45930</v>
      </c>
      <c r="G1327" s="64" t="s">
        <v>6</v>
      </c>
      <c r="H1327" s="72" t="s">
        <v>799</v>
      </c>
      <c r="I1327" s="35" t="s">
        <v>2480</v>
      </c>
      <c r="J1327" s="75" t="s">
        <v>6034</v>
      </c>
      <c r="K1327" s="43" t="s">
        <v>2581</v>
      </c>
      <c r="L1327" s="73">
        <v>37000</v>
      </c>
      <c r="M1327" s="30">
        <v>0</v>
      </c>
      <c r="N1327" s="30">
        <f>5581</f>
        <v>5581</v>
      </c>
      <c r="O1327" s="30">
        <f t="shared" si="23"/>
        <v>31419</v>
      </c>
      <c r="P1327" s="44" t="s">
        <v>2874</v>
      </c>
    </row>
    <row r="1328" spans="2:16" ht="29" x14ac:dyDescent="0.35">
      <c r="B1328" s="72" t="s">
        <v>5988</v>
      </c>
      <c r="C1328" s="89" t="s">
        <v>6015</v>
      </c>
      <c r="D1328" s="36">
        <v>45628</v>
      </c>
      <c r="E1328" s="36">
        <v>45649</v>
      </c>
      <c r="F1328" s="36">
        <v>45930</v>
      </c>
      <c r="G1328" s="64" t="s">
        <v>6</v>
      </c>
      <c r="H1328" s="72" t="s">
        <v>786</v>
      </c>
      <c r="I1328" s="35" t="s">
        <v>2494</v>
      </c>
      <c r="J1328" s="75" t="s">
        <v>6034</v>
      </c>
      <c r="K1328" s="43" t="s">
        <v>2581</v>
      </c>
      <c r="L1328" s="73">
        <v>27000</v>
      </c>
      <c r="M1328" s="30">
        <v>0</v>
      </c>
      <c r="N1328" s="30">
        <f>5985+4755+5685</f>
        <v>16425</v>
      </c>
      <c r="O1328" s="30">
        <f t="shared" si="23"/>
        <v>10575</v>
      </c>
      <c r="P1328" s="44" t="s">
        <v>2874</v>
      </c>
    </row>
    <row r="1329" spans="2:16" ht="29" x14ac:dyDescent="0.35">
      <c r="B1329" s="72" t="s">
        <v>5989</v>
      </c>
      <c r="C1329" s="89" t="s">
        <v>6016</v>
      </c>
      <c r="D1329" s="36">
        <v>45628</v>
      </c>
      <c r="E1329" s="36">
        <v>45652</v>
      </c>
      <c r="F1329" s="36">
        <v>45930</v>
      </c>
      <c r="G1329" s="64" t="s">
        <v>6</v>
      </c>
      <c r="H1329" s="72" t="s">
        <v>815</v>
      </c>
      <c r="I1329" s="35" t="s">
        <v>2492</v>
      </c>
      <c r="J1329" s="75" t="s">
        <v>6034</v>
      </c>
      <c r="K1329" s="43" t="s">
        <v>2581</v>
      </c>
      <c r="L1329" s="73">
        <v>150000</v>
      </c>
      <c r="M1329" s="30">
        <v>0</v>
      </c>
      <c r="N1329" s="30">
        <f>51822+42014.4+6959.6</f>
        <v>100796</v>
      </c>
      <c r="O1329" s="30">
        <f t="shared" si="23"/>
        <v>49204</v>
      </c>
      <c r="P1329" s="43" t="s">
        <v>2874</v>
      </c>
    </row>
    <row r="1330" spans="2:16" ht="29" x14ac:dyDescent="0.35">
      <c r="B1330" s="72" t="s">
        <v>5991</v>
      </c>
      <c r="C1330" s="89" t="s">
        <v>6018</v>
      </c>
      <c r="D1330" s="36">
        <v>45639</v>
      </c>
      <c r="E1330" s="36">
        <v>45652</v>
      </c>
      <c r="F1330" s="36">
        <v>45930</v>
      </c>
      <c r="G1330" s="64" t="s">
        <v>6</v>
      </c>
      <c r="H1330" s="72" t="s">
        <v>3193</v>
      </c>
      <c r="I1330" s="35" t="s">
        <v>2518</v>
      </c>
      <c r="J1330" s="75" t="s">
        <v>6034</v>
      </c>
      <c r="K1330" s="43" t="s">
        <v>2581</v>
      </c>
      <c r="L1330" s="73">
        <v>33000</v>
      </c>
      <c r="M1330" s="30">
        <v>0</v>
      </c>
      <c r="N1330" s="30">
        <f>11428+6345</f>
        <v>17773</v>
      </c>
      <c r="O1330" s="30">
        <f>L1330-M1330-N1330</f>
        <v>15227</v>
      </c>
      <c r="P1330" s="43"/>
    </row>
    <row r="1331" spans="2:16" x14ac:dyDescent="0.35">
      <c r="B1331" s="72" t="s">
        <v>5992</v>
      </c>
      <c r="C1331" s="89" t="s">
        <v>6019</v>
      </c>
      <c r="D1331" s="36">
        <v>45644</v>
      </c>
      <c r="E1331" s="36">
        <v>45652</v>
      </c>
      <c r="F1331" s="36">
        <v>46746</v>
      </c>
      <c r="G1331" s="64" t="s">
        <v>6</v>
      </c>
      <c r="H1331" s="72" t="s">
        <v>6033</v>
      </c>
      <c r="I1331" s="35" t="s">
        <v>2528</v>
      </c>
      <c r="J1331" s="75" t="s">
        <v>5793</v>
      </c>
      <c r="K1331" s="43" t="s">
        <v>2583</v>
      </c>
      <c r="L1331" s="73">
        <v>6000</v>
      </c>
      <c r="M1331" s="30">
        <v>0</v>
      </c>
      <c r="N1331" s="30"/>
      <c r="O1331" s="30">
        <f t="shared" si="23"/>
        <v>6000</v>
      </c>
      <c r="P1331" s="44">
        <v>3.04</v>
      </c>
    </row>
    <row r="1332" spans="2:16" x14ac:dyDescent="0.35">
      <c r="B1332" s="72" t="s">
        <v>5993</v>
      </c>
      <c r="C1332" s="89" t="s">
        <v>6020</v>
      </c>
      <c r="D1332" s="36">
        <v>45644</v>
      </c>
      <c r="E1332" s="36">
        <v>45652</v>
      </c>
      <c r="F1332" s="36">
        <v>46746</v>
      </c>
      <c r="G1332" s="64" t="s">
        <v>6</v>
      </c>
      <c r="H1332" s="72" t="s">
        <v>6033</v>
      </c>
      <c r="I1332" s="35" t="s">
        <v>2528</v>
      </c>
      <c r="J1332" s="75" t="s">
        <v>5766</v>
      </c>
      <c r="K1332" s="43" t="s">
        <v>5847</v>
      </c>
      <c r="L1332" s="73">
        <v>30000</v>
      </c>
      <c r="M1332" s="30">
        <v>0</v>
      </c>
      <c r="N1332" s="30"/>
      <c r="O1332" s="30">
        <f t="shared" ref="O1332:O1349" si="24">L1332-M1332-N1332</f>
        <v>30000</v>
      </c>
      <c r="P1332" s="44">
        <v>3.04</v>
      </c>
    </row>
    <row r="1333" spans="2:16" x14ac:dyDescent="0.35">
      <c r="B1333" s="35" t="s">
        <v>5687</v>
      </c>
      <c r="C1333" s="94" t="s">
        <v>6038</v>
      </c>
      <c r="D1333" s="36">
        <v>45505</v>
      </c>
      <c r="E1333" s="36">
        <v>45534</v>
      </c>
      <c r="F1333" s="36">
        <v>45657</v>
      </c>
      <c r="G1333" s="64" t="s">
        <v>6</v>
      </c>
      <c r="H1333" s="35" t="s">
        <v>5003</v>
      </c>
      <c r="I1333" s="35" t="s">
        <v>2476</v>
      </c>
      <c r="J1333" s="43" t="s">
        <v>3708</v>
      </c>
      <c r="K1333" s="43" t="s">
        <v>2573</v>
      </c>
      <c r="L1333" s="30">
        <v>1440</v>
      </c>
      <c r="M1333" s="30">
        <v>0</v>
      </c>
      <c r="N1333" s="30">
        <v>1440</v>
      </c>
      <c r="O1333" s="30">
        <f t="shared" si="24"/>
        <v>0</v>
      </c>
      <c r="P1333" s="43" t="s">
        <v>2874</v>
      </c>
    </row>
    <row r="1334" spans="2:16" x14ac:dyDescent="0.35">
      <c r="B1334" s="35" t="s">
        <v>5687</v>
      </c>
      <c r="C1334" s="94" t="s">
        <v>6040</v>
      </c>
      <c r="D1334" s="36">
        <v>45505</v>
      </c>
      <c r="E1334" s="36">
        <v>45534</v>
      </c>
      <c r="F1334" s="36">
        <v>45657</v>
      </c>
      <c r="G1334" s="64" t="s">
        <v>6</v>
      </c>
      <c r="H1334" s="35" t="s">
        <v>5679</v>
      </c>
      <c r="I1334" s="35" t="s">
        <v>2522</v>
      </c>
      <c r="J1334" s="43" t="s">
        <v>5392</v>
      </c>
      <c r="K1334" s="43" t="s">
        <v>2573</v>
      </c>
      <c r="L1334" s="30">
        <v>1440</v>
      </c>
      <c r="M1334" s="30">
        <v>0</v>
      </c>
      <c r="N1334" s="30">
        <v>1440</v>
      </c>
      <c r="O1334" s="30">
        <f t="shared" si="24"/>
        <v>0</v>
      </c>
      <c r="P1334" s="43" t="s">
        <v>2874</v>
      </c>
    </row>
    <row r="1335" spans="2:16" x14ac:dyDescent="0.35">
      <c r="B1335" s="76" t="s">
        <v>6043</v>
      </c>
      <c r="C1335" s="98" t="s">
        <v>6044</v>
      </c>
      <c r="D1335" s="36">
        <v>45169</v>
      </c>
      <c r="E1335" s="36">
        <v>45272</v>
      </c>
      <c r="F1335" s="36">
        <v>45536</v>
      </c>
      <c r="G1335" s="64" t="s">
        <v>6</v>
      </c>
      <c r="H1335" s="43" t="s">
        <v>6042</v>
      </c>
      <c r="I1335" s="35" t="s">
        <v>2480</v>
      </c>
      <c r="J1335" s="43" t="s">
        <v>5802</v>
      </c>
      <c r="K1335" s="43" t="s">
        <v>4704</v>
      </c>
      <c r="L1335" s="30">
        <v>40000</v>
      </c>
      <c r="M1335" s="30">
        <v>0</v>
      </c>
      <c r="N1335" s="30">
        <v>30000</v>
      </c>
      <c r="O1335" s="30">
        <f t="shared" si="24"/>
        <v>10000</v>
      </c>
      <c r="P1335" s="43" t="s">
        <v>5790</v>
      </c>
    </row>
    <row r="1336" spans="2:16" x14ac:dyDescent="0.35">
      <c r="B1336" s="39" t="s">
        <v>2262</v>
      </c>
      <c r="C1336" s="101" t="s">
        <v>6045</v>
      </c>
      <c r="D1336" s="40">
        <v>43882</v>
      </c>
      <c r="E1336" s="40">
        <v>45211</v>
      </c>
      <c r="F1336" s="40">
        <v>45708</v>
      </c>
      <c r="G1336" s="63" t="s">
        <v>6</v>
      </c>
      <c r="H1336" s="38" t="s">
        <v>2261</v>
      </c>
      <c r="I1336" s="39" t="s">
        <v>2492</v>
      </c>
      <c r="J1336" s="38" t="s">
        <v>4487</v>
      </c>
      <c r="K1336" s="38" t="s">
        <v>6046</v>
      </c>
      <c r="L1336" s="31">
        <v>500000</v>
      </c>
      <c r="M1336" s="31"/>
      <c r="N1336" s="31">
        <f>204073.48+269725.04+26201.48</f>
        <v>500000</v>
      </c>
      <c r="O1336" s="30">
        <f t="shared" si="24"/>
        <v>0</v>
      </c>
      <c r="P1336" s="26">
        <v>0.24</v>
      </c>
    </row>
    <row r="1337" spans="2:16" x14ac:dyDescent="0.35">
      <c r="B1337" s="35" t="s">
        <v>4766</v>
      </c>
      <c r="C1337" s="80" t="s">
        <v>6049</v>
      </c>
      <c r="D1337" s="36">
        <v>45342</v>
      </c>
      <c r="E1337" s="36">
        <v>45342</v>
      </c>
      <c r="F1337" s="36">
        <v>45473</v>
      </c>
      <c r="G1337" s="64" t="s">
        <v>6</v>
      </c>
      <c r="H1337" s="43" t="s">
        <v>6050</v>
      </c>
      <c r="I1337" s="35" t="s">
        <v>2480</v>
      </c>
      <c r="J1337" s="43" t="s">
        <v>6051</v>
      </c>
      <c r="K1337" s="43" t="s">
        <v>5558</v>
      </c>
      <c r="L1337" s="30">
        <v>10000</v>
      </c>
      <c r="M1337" s="30"/>
      <c r="N1337" s="30">
        <f>4501.53+5000</f>
        <v>9501.5299999999988</v>
      </c>
      <c r="O1337" s="30">
        <f t="shared" si="24"/>
        <v>498.47000000000116</v>
      </c>
      <c r="P1337" s="43" t="s">
        <v>5558</v>
      </c>
    </row>
    <row r="1338" spans="2:16" x14ac:dyDescent="0.35">
      <c r="B1338" s="35" t="s">
        <v>4766</v>
      </c>
      <c r="C1338" s="80" t="s">
        <v>6052</v>
      </c>
      <c r="D1338" s="36">
        <v>45351</v>
      </c>
      <c r="E1338" s="36">
        <v>45351</v>
      </c>
      <c r="F1338" s="36">
        <v>45473</v>
      </c>
      <c r="G1338" s="64" t="s">
        <v>6</v>
      </c>
      <c r="H1338" s="43" t="s">
        <v>6053</v>
      </c>
      <c r="I1338" s="35" t="s">
        <v>2480</v>
      </c>
      <c r="J1338" s="43" t="s">
        <v>6054</v>
      </c>
      <c r="K1338" s="43" t="s">
        <v>5558</v>
      </c>
      <c r="L1338" s="30">
        <v>25000</v>
      </c>
      <c r="M1338" s="30">
        <v>0</v>
      </c>
      <c r="N1338" s="30">
        <f>11179.55+12500</f>
        <v>23679.55</v>
      </c>
      <c r="O1338" s="30">
        <f t="shared" si="24"/>
        <v>1320.4500000000007</v>
      </c>
      <c r="P1338" s="43"/>
    </row>
    <row r="1339" spans="2:16" x14ac:dyDescent="0.35">
      <c r="B1339" s="35" t="s">
        <v>3679</v>
      </c>
      <c r="C1339" s="80" t="s">
        <v>6057</v>
      </c>
      <c r="D1339" s="36">
        <v>45471</v>
      </c>
      <c r="E1339" s="36">
        <v>45471</v>
      </c>
      <c r="F1339" s="36">
        <v>45657</v>
      </c>
      <c r="G1339" s="64" t="s">
        <v>6</v>
      </c>
      <c r="H1339" s="43" t="s">
        <v>6055</v>
      </c>
      <c r="I1339" s="35" t="s">
        <v>2543</v>
      </c>
      <c r="J1339" s="43" t="s">
        <v>6056</v>
      </c>
      <c r="K1339" s="43" t="s">
        <v>6056</v>
      </c>
      <c r="L1339" s="30">
        <v>70000</v>
      </c>
      <c r="M1339" s="30"/>
      <c r="N1339" s="30">
        <f>44987.5+8807.5+7406.04+7532.5</f>
        <v>68733.540000000008</v>
      </c>
      <c r="O1339" s="30">
        <f t="shared" si="24"/>
        <v>1266.4599999999919</v>
      </c>
      <c r="P1339" s="43"/>
    </row>
    <row r="1340" spans="2:16" ht="29" x14ac:dyDescent="0.35">
      <c r="B1340" s="35" t="s">
        <v>6061</v>
      </c>
      <c r="C1340" s="80" t="s">
        <v>6058</v>
      </c>
      <c r="D1340" s="36">
        <v>45593</v>
      </c>
      <c r="E1340" s="36">
        <v>45593</v>
      </c>
      <c r="F1340" s="36">
        <v>45792</v>
      </c>
      <c r="G1340" s="64" t="s">
        <v>6</v>
      </c>
      <c r="H1340" s="35" t="s">
        <v>1423</v>
      </c>
      <c r="I1340" s="35" t="s">
        <v>2540</v>
      </c>
      <c r="J1340" s="43" t="s">
        <v>5664</v>
      </c>
      <c r="K1340" s="43" t="s">
        <v>2581</v>
      </c>
      <c r="L1340" s="30">
        <v>6577</v>
      </c>
      <c r="M1340" s="30">
        <v>0</v>
      </c>
      <c r="N1340" s="30">
        <v>6577</v>
      </c>
      <c r="O1340" s="30">
        <f t="shared" si="24"/>
        <v>0</v>
      </c>
      <c r="P1340" s="44" t="s">
        <v>2874</v>
      </c>
    </row>
    <row r="1341" spans="2:16" x14ac:dyDescent="0.35">
      <c r="B1341" s="35" t="s">
        <v>6059</v>
      </c>
      <c r="C1341" s="80" t="s">
        <v>6060</v>
      </c>
      <c r="D1341" s="36">
        <v>45597</v>
      </c>
      <c r="E1341" s="36">
        <v>45597</v>
      </c>
      <c r="F1341" s="36">
        <v>45763</v>
      </c>
      <c r="G1341" s="64" t="s">
        <v>6</v>
      </c>
      <c r="H1341" s="35" t="s">
        <v>3139</v>
      </c>
      <c r="I1341" s="35" t="s">
        <v>2484</v>
      </c>
      <c r="J1341" s="43" t="s">
        <v>5073</v>
      </c>
      <c r="K1341" s="43" t="s">
        <v>2581</v>
      </c>
      <c r="L1341" s="30">
        <v>4050</v>
      </c>
      <c r="M1341" s="30">
        <v>0</v>
      </c>
      <c r="N1341" s="30">
        <v>4050</v>
      </c>
      <c r="O1341" s="30">
        <f t="shared" si="24"/>
        <v>0</v>
      </c>
      <c r="P1341" s="43" t="s">
        <v>2874</v>
      </c>
    </row>
    <row r="1342" spans="2:16" ht="29" x14ac:dyDescent="0.35">
      <c r="B1342" s="35" t="s">
        <v>5819</v>
      </c>
      <c r="C1342" s="80" t="s">
        <v>5820</v>
      </c>
      <c r="D1342" s="36">
        <v>45580</v>
      </c>
      <c r="E1342" s="36">
        <v>45945</v>
      </c>
      <c r="F1342" s="36">
        <v>45930</v>
      </c>
      <c r="G1342" s="64" t="s">
        <v>6</v>
      </c>
      <c r="H1342" s="43" t="s">
        <v>3474</v>
      </c>
      <c r="I1342" s="35" t="s">
        <v>2480</v>
      </c>
      <c r="J1342" s="38" t="s">
        <v>6062</v>
      </c>
      <c r="K1342" s="38" t="s">
        <v>2574</v>
      </c>
      <c r="L1342" s="30">
        <v>400000</v>
      </c>
      <c r="M1342" s="30">
        <v>0</v>
      </c>
      <c r="N1342" s="30">
        <f>100000+130000+170000</f>
        <v>400000</v>
      </c>
      <c r="O1342" s="30">
        <f t="shared" si="24"/>
        <v>0</v>
      </c>
      <c r="P1342" s="43" t="s">
        <v>2874</v>
      </c>
    </row>
    <row r="1343" spans="2:16" x14ac:dyDescent="0.35">
      <c r="B1343" s="35" t="s">
        <v>5687</v>
      </c>
      <c r="C1343" s="94" t="s">
        <v>6064</v>
      </c>
      <c r="D1343" s="36">
        <v>45534</v>
      </c>
      <c r="E1343" s="36">
        <v>45348</v>
      </c>
      <c r="F1343" s="36">
        <v>45657</v>
      </c>
      <c r="G1343" s="64" t="s">
        <v>6</v>
      </c>
      <c r="H1343" s="35" t="s">
        <v>4879</v>
      </c>
      <c r="I1343" s="35" t="s">
        <v>2492</v>
      </c>
      <c r="J1343" s="43" t="s">
        <v>4944</v>
      </c>
      <c r="K1343" s="43" t="s">
        <v>2573</v>
      </c>
      <c r="L1343" s="30">
        <v>1440</v>
      </c>
      <c r="M1343" s="30">
        <v>0</v>
      </c>
      <c r="N1343" s="30">
        <v>1440</v>
      </c>
      <c r="O1343" s="30">
        <f t="shared" si="24"/>
        <v>0</v>
      </c>
      <c r="P1343" s="43" t="s">
        <v>2874</v>
      </c>
    </row>
    <row r="1344" spans="2:16" x14ac:dyDescent="0.35">
      <c r="B1344" s="35" t="s">
        <v>5687</v>
      </c>
      <c r="C1344" s="94" t="s">
        <v>6066</v>
      </c>
      <c r="D1344" s="36">
        <v>45140</v>
      </c>
      <c r="E1344" s="36">
        <v>45355</v>
      </c>
      <c r="F1344" s="36">
        <v>45657</v>
      </c>
      <c r="G1344" s="64" t="s">
        <v>6</v>
      </c>
      <c r="H1344" s="35" t="s">
        <v>4890</v>
      </c>
      <c r="I1344" s="35" t="s">
        <v>3491</v>
      </c>
      <c r="J1344" s="43" t="s">
        <v>4945</v>
      </c>
      <c r="K1344" s="43" t="s">
        <v>2573</v>
      </c>
      <c r="L1344" s="30">
        <v>1440</v>
      </c>
      <c r="M1344" s="30">
        <v>0</v>
      </c>
      <c r="N1344" s="30">
        <v>1440</v>
      </c>
      <c r="O1344" s="30">
        <f t="shared" si="24"/>
        <v>0</v>
      </c>
      <c r="P1344" s="43" t="s">
        <v>2874</v>
      </c>
    </row>
    <row r="1345" spans="2:16" x14ac:dyDescent="0.35">
      <c r="B1345" s="35" t="s">
        <v>5687</v>
      </c>
      <c r="C1345" s="94" t="s">
        <v>6067</v>
      </c>
      <c r="D1345" s="36">
        <v>45532</v>
      </c>
      <c r="E1345" s="36">
        <v>45532</v>
      </c>
      <c r="F1345" s="36">
        <v>45657</v>
      </c>
      <c r="G1345" s="64" t="s">
        <v>6</v>
      </c>
      <c r="H1345" s="35" t="s">
        <v>4885</v>
      </c>
      <c r="I1345" s="35" t="s">
        <v>2498</v>
      </c>
      <c r="J1345" s="43" t="s">
        <v>4945</v>
      </c>
      <c r="K1345" s="43" t="s">
        <v>2573</v>
      </c>
      <c r="L1345" s="30">
        <v>1440</v>
      </c>
      <c r="M1345" s="30">
        <v>0</v>
      </c>
      <c r="N1345" s="30">
        <v>1440</v>
      </c>
      <c r="O1345" s="30">
        <f t="shared" si="24"/>
        <v>0</v>
      </c>
      <c r="P1345" s="43" t="s">
        <v>2874</v>
      </c>
    </row>
    <row r="1346" spans="2:16" x14ac:dyDescent="0.35">
      <c r="B1346" s="35" t="s">
        <v>5687</v>
      </c>
      <c r="C1346" s="94" t="s">
        <v>6068</v>
      </c>
      <c r="D1346" s="36">
        <v>45533</v>
      </c>
      <c r="E1346" s="36">
        <v>45533</v>
      </c>
      <c r="F1346" s="36">
        <v>45657</v>
      </c>
      <c r="G1346" s="64" t="s">
        <v>6</v>
      </c>
      <c r="H1346" s="35" t="s">
        <v>136</v>
      </c>
      <c r="I1346" s="35" t="s">
        <v>2501</v>
      </c>
      <c r="J1346" s="43" t="s">
        <v>4945</v>
      </c>
      <c r="K1346" s="43" t="s">
        <v>2573</v>
      </c>
      <c r="L1346" s="30">
        <v>1440</v>
      </c>
      <c r="M1346" s="30">
        <v>0</v>
      </c>
      <c r="N1346" s="30">
        <v>1440</v>
      </c>
      <c r="O1346" s="30">
        <f t="shared" si="24"/>
        <v>0</v>
      </c>
      <c r="P1346" s="43" t="s">
        <v>2874</v>
      </c>
    </row>
    <row r="1347" spans="2:16" x14ac:dyDescent="0.35">
      <c r="B1347" s="35" t="s">
        <v>5687</v>
      </c>
      <c r="C1347" s="94" t="s">
        <v>6069</v>
      </c>
      <c r="D1347" s="36">
        <v>45534</v>
      </c>
      <c r="E1347" s="36">
        <v>45534</v>
      </c>
      <c r="F1347" s="36">
        <v>45657</v>
      </c>
      <c r="G1347" s="64" t="s">
        <v>6</v>
      </c>
      <c r="H1347" s="35" t="s">
        <v>39</v>
      </c>
      <c r="I1347" s="35" t="s">
        <v>2481</v>
      </c>
      <c r="J1347" s="43" t="s">
        <v>4945</v>
      </c>
      <c r="K1347" s="43" t="s">
        <v>2573</v>
      </c>
      <c r="L1347" s="30">
        <v>1440</v>
      </c>
      <c r="M1347" s="30">
        <v>0</v>
      </c>
      <c r="N1347" s="30">
        <v>1440</v>
      </c>
      <c r="O1347" s="30">
        <f t="shared" si="24"/>
        <v>0</v>
      </c>
      <c r="P1347" s="43" t="s">
        <v>2874</v>
      </c>
    </row>
    <row r="1348" spans="2:16" x14ac:dyDescent="0.35">
      <c r="B1348" s="35" t="s">
        <v>5687</v>
      </c>
      <c r="C1348" s="94" t="s">
        <v>6070</v>
      </c>
      <c r="D1348" s="36">
        <v>45534</v>
      </c>
      <c r="E1348" s="36">
        <v>45534</v>
      </c>
      <c r="F1348" s="36">
        <v>45657</v>
      </c>
      <c r="G1348" s="64" t="s">
        <v>6</v>
      </c>
      <c r="H1348" s="35" t="s">
        <v>3076</v>
      </c>
      <c r="I1348" s="35" t="s">
        <v>3491</v>
      </c>
      <c r="J1348" s="43" t="s">
        <v>4945</v>
      </c>
      <c r="K1348" s="43" t="s">
        <v>2573</v>
      </c>
      <c r="L1348" s="30">
        <v>1440</v>
      </c>
      <c r="M1348" s="30">
        <v>0</v>
      </c>
      <c r="N1348" s="30">
        <f>1440</f>
        <v>1440</v>
      </c>
      <c r="O1348" s="30">
        <f t="shared" si="24"/>
        <v>0</v>
      </c>
      <c r="P1348" s="43" t="s">
        <v>2874</v>
      </c>
    </row>
    <row r="1349" spans="2:16" x14ac:dyDescent="0.35">
      <c r="B1349" s="35" t="s">
        <v>5687</v>
      </c>
      <c r="C1349" s="94" t="s">
        <v>6071</v>
      </c>
      <c r="D1349" s="36">
        <v>45534</v>
      </c>
      <c r="E1349" s="36">
        <v>45534</v>
      </c>
      <c r="F1349" s="36">
        <v>45657</v>
      </c>
      <c r="G1349" s="64" t="s">
        <v>6</v>
      </c>
      <c r="H1349" s="35" t="s">
        <v>4143</v>
      </c>
      <c r="I1349" s="35" t="s">
        <v>2816</v>
      </c>
      <c r="J1349" s="43" t="s">
        <v>4945</v>
      </c>
      <c r="K1349" s="43" t="s">
        <v>2573</v>
      </c>
      <c r="L1349" s="30">
        <v>1440</v>
      </c>
      <c r="M1349" s="30">
        <v>0</v>
      </c>
      <c r="N1349" s="30">
        <v>1440</v>
      </c>
      <c r="O1349" s="30">
        <f t="shared" si="24"/>
        <v>0</v>
      </c>
      <c r="P1349" s="43" t="s">
        <v>2874</v>
      </c>
    </row>
    <row r="1350" spans="2:16" ht="29" x14ac:dyDescent="0.35">
      <c r="B1350" s="83" t="s">
        <v>5788</v>
      </c>
      <c r="C1350" s="90" t="s">
        <v>6080</v>
      </c>
      <c r="D1350" s="84">
        <v>45652</v>
      </c>
      <c r="E1350" s="36">
        <v>45652</v>
      </c>
      <c r="F1350" s="36">
        <v>46016</v>
      </c>
      <c r="G1350" s="64" t="s">
        <v>6</v>
      </c>
      <c r="H1350" s="87" t="s">
        <v>6100</v>
      </c>
      <c r="I1350" s="35" t="s">
        <v>2483</v>
      </c>
      <c r="J1350" s="75" t="s">
        <v>4704</v>
      </c>
      <c r="K1350" s="43" t="s">
        <v>3182</v>
      </c>
      <c r="L1350" s="86">
        <v>5000</v>
      </c>
      <c r="M1350" s="30">
        <v>0</v>
      </c>
      <c r="N1350" s="30"/>
      <c r="O1350" s="30">
        <f t="shared" ref="O1350:O1366" si="25">L1350-M1350-N1350</f>
        <v>5000</v>
      </c>
      <c r="P1350" s="44" t="s">
        <v>2874</v>
      </c>
    </row>
    <row r="1351" spans="2:16" x14ac:dyDescent="0.35">
      <c r="B1351" s="83" t="s">
        <v>5788</v>
      </c>
      <c r="C1351" s="90" t="s">
        <v>6081</v>
      </c>
      <c r="D1351" s="84">
        <v>45652</v>
      </c>
      <c r="E1351" s="36">
        <v>45652</v>
      </c>
      <c r="F1351" s="36">
        <v>46016</v>
      </c>
      <c r="G1351" s="64" t="s">
        <v>6</v>
      </c>
      <c r="H1351" s="83" t="s">
        <v>6101</v>
      </c>
      <c r="I1351" s="35" t="s">
        <v>2483</v>
      </c>
      <c r="J1351" s="75" t="s">
        <v>4704</v>
      </c>
      <c r="K1351" s="43" t="s">
        <v>3182</v>
      </c>
      <c r="L1351" s="85">
        <v>10000</v>
      </c>
      <c r="M1351" s="30">
        <v>0</v>
      </c>
      <c r="N1351" s="30">
        <f>3600</f>
        <v>3600</v>
      </c>
      <c r="O1351" s="30">
        <f t="shared" si="25"/>
        <v>6400</v>
      </c>
      <c r="P1351" s="44" t="s">
        <v>2874</v>
      </c>
    </row>
    <row r="1352" spans="2:16" ht="29" x14ac:dyDescent="0.35">
      <c r="B1352" s="83" t="s">
        <v>5788</v>
      </c>
      <c r="C1352" s="90" t="s">
        <v>6082</v>
      </c>
      <c r="D1352" s="84">
        <v>45652</v>
      </c>
      <c r="E1352" s="36">
        <v>45652</v>
      </c>
      <c r="F1352" s="36">
        <v>46016</v>
      </c>
      <c r="G1352" s="64" t="s">
        <v>6</v>
      </c>
      <c r="H1352" s="83" t="s">
        <v>6102</v>
      </c>
      <c r="I1352" s="35" t="s">
        <v>2480</v>
      </c>
      <c r="J1352" s="75" t="s">
        <v>4704</v>
      </c>
      <c r="K1352" s="43" t="s">
        <v>3182</v>
      </c>
      <c r="L1352" s="85">
        <v>10000</v>
      </c>
      <c r="M1352" s="30">
        <v>0</v>
      </c>
      <c r="N1352" s="30"/>
      <c r="O1352" s="30">
        <f t="shared" si="25"/>
        <v>10000</v>
      </c>
      <c r="P1352" s="44" t="s">
        <v>2874</v>
      </c>
    </row>
    <row r="1353" spans="2:16" ht="29" x14ac:dyDescent="0.35">
      <c r="B1353" s="83" t="s">
        <v>5990</v>
      </c>
      <c r="C1353" s="90" t="s">
        <v>6017</v>
      </c>
      <c r="D1353" s="84">
        <v>45652</v>
      </c>
      <c r="E1353" s="99">
        <v>45652</v>
      </c>
      <c r="F1353" s="36">
        <v>45930</v>
      </c>
      <c r="G1353" s="64" t="s">
        <v>6</v>
      </c>
      <c r="H1353" s="83" t="s">
        <v>802</v>
      </c>
      <c r="I1353" s="35" t="s">
        <v>2500</v>
      </c>
      <c r="J1353" s="75" t="s">
        <v>6034</v>
      </c>
      <c r="K1353" s="43" t="s">
        <v>2581</v>
      </c>
      <c r="L1353" s="85">
        <v>56000</v>
      </c>
      <c r="M1353" s="30">
        <v>0</v>
      </c>
      <c r="N1353" s="30">
        <f>20593+14567</f>
        <v>35160</v>
      </c>
      <c r="O1353" s="30">
        <f t="shared" si="25"/>
        <v>20840</v>
      </c>
      <c r="P1353" s="44" t="s">
        <v>2874</v>
      </c>
    </row>
    <row r="1354" spans="2:16" ht="29" x14ac:dyDescent="0.35">
      <c r="B1354" s="83" t="s">
        <v>6083</v>
      </c>
      <c r="C1354" s="90" t="s">
        <v>6084</v>
      </c>
      <c r="D1354" s="84">
        <v>45653</v>
      </c>
      <c r="E1354" s="36">
        <v>45653</v>
      </c>
      <c r="F1354" s="36">
        <v>45930</v>
      </c>
      <c r="G1354" s="64" t="s">
        <v>6</v>
      </c>
      <c r="H1354" s="83" t="s">
        <v>3139</v>
      </c>
      <c r="I1354" s="35" t="s">
        <v>2484</v>
      </c>
      <c r="J1354" s="75" t="s">
        <v>6034</v>
      </c>
      <c r="K1354" s="43" t="s">
        <v>2581</v>
      </c>
      <c r="L1354" s="85">
        <v>24000</v>
      </c>
      <c r="M1354" s="30">
        <v>0</v>
      </c>
      <c r="N1354" s="30">
        <f>2616+5405</f>
        <v>8021</v>
      </c>
      <c r="O1354" s="30">
        <f t="shared" si="25"/>
        <v>15979</v>
      </c>
      <c r="P1354" s="44" t="s">
        <v>2874</v>
      </c>
    </row>
    <row r="1355" spans="2:16" ht="29" x14ac:dyDescent="0.35">
      <c r="B1355" s="83" t="s">
        <v>6085</v>
      </c>
      <c r="C1355" s="90" t="s">
        <v>6086</v>
      </c>
      <c r="D1355" s="84">
        <v>45653</v>
      </c>
      <c r="E1355" s="36">
        <v>45653</v>
      </c>
      <c r="F1355" s="36">
        <v>45930</v>
      </c>
      <c r="G1355" s="64" t="s">
        <v>6</v>
      </c>
      <c r="H1355" s="83" t="s">
        <v>846</v>
      </c>
      <c r="I1355" s="35" t="s">
        <v>2480</v>
      </c>
      <c r="J1355" s="75" t="s">
        <v>6034</v>
      </c>
      <c r="K1355" s="43" t="s">
        <v>2581</v>
      </c>
      <c r="L1355" s="85">
        <v>42000</v>
      </c>
      <c r="M1355" s="30">
        <v>0</v>
      </c>
      <c r="N1355" s="30">
        <f>22217+877+3819</f>
        <v>26913</v>
      </c>
      <c r="O1355" s="30">
        <f t="shared" si="25"/>
        <v>15087</v>
      </c>
      <c r="P1355" s="44" t="s">
        <v>2874</v>
      </c>
    </row>
    <row r="1356" spans="2:16" x14ac:dyDescent="0.35">
      <c r="B1356" s="90" t="s">
        <v>5710</v>
      </c>
      <c r="C1356" s="90" t="s">
        <v>6087</v>
      </c>
      <c r="D1356" s="84">
        <v>45653</v>
      </c>
      <c r="E1356" s="36">
        <v>45653</v>
      </c>
      <c r="F1356" s="36">
        <v>45807</v>
      </c>
      <c r="G1356" s="64" t="s">
        <v>6</v>
      </c>
      <c r="H1356" s="83" t="s">
        <v>6103</v>
      </c>
      <c r="I1356" s="35" t="s">
        <v>2480</v>
      </c>
      <c r="J1356" s="43" t="s">
        <v>6113</v>
      </c>
      <c r="K1356" s="43" t="s">
        <v>5558</v>
      </c>
      <c r="L1356" s="85">
        <v>20000</v>
      </c>
      <c r="M1356" s="30">
        <v>0</v>
      </c>
      <c r="N1356" s="30">
        <f>10000</f>
        <v>10000</v>
      </c>
      <c r="O1356" s="30">
        <f t="shared" si="25"/>
        <v>10000</v>
      </c>
      <c r="P1356" s="43"/>
    </row>
    <row r="1357" spans="2:16" x14ac:dyDescent="0.35">
      <c r="B1357" s="83" t="s">
        <v>6088</v>
      </c>
      <c r="C1357" s="90" t="s">
        <v>6089</v>
      </c>
      <c r="D1357" s="84">
        <v>45653</v>
      </c>
      <c r="E1357" s="36">
        <v>45653</v>
      </c>
      <c r="F1357" s="36">
        <v>47118</v>
      </c>
      <c r="G1357" s="64" t="s">
        <v>6</v>
      </c>
      <c r="H1357" s="83" t="s">
        <v>6104</v>
      </c>
      <c r="I1357" s="35" t="s">
        <v>2503</v>
      </c>
      <c r="J1357" s="43" t="s">
        <v>5236</v>
      </c>
      <c r="K1357" s="43" t="s">
        <v>3181</v>
      </c>
      <c r="L1357" s="85">
        <v>35000</v>
      </c>
      <c r="M1357" s="30">
        <v>0</v>
      </c>
      <c r="N1357" s="30">
        <f>5000</f>
        <v>5000</v>
      </c>
      <c r="O1357" s="30">
        <f t="shared" si="25"/>
        <v>30000</v>
      </c>
      <c r="P1357" s="43"/>
    </row>
    <row r="1358" spans="2:16" x14ac:dyDescent="0.35">
      <c r="B1358" s="83" t="s">
        <v>6088</v>
      </c>
      <c r="C1358" s="90" t="s">
        <v>6090</v>
      </c>
      <c r="D1358" s="84">
        <v>45653</v>
      </c>
      <c r="E1358" s="36">
        <v>45653</v>
      </c>
      <c r="F1358" s="36">
        <v>46387</v>
      </c>
      <c r="G1358" s="64" t="s">
        <v>6</v>
      </c>
      <c r="H1358" s="83" t="s">
        <v>6114</v>
      </c>
      <c r="I1358" s="35" t="s">
        <v>5948</v>
      </c>
      <c r="J1358" s="43" t="s">
        <v>5236</v>
      </c>
      <c r="K1358" s="43" t="s">
        <v>3181</v>
      </c>
      <c r="L1358" s="85">
        <v>15000</v>
      </c>
      <c r="M1358" s="30">
        <v>0</v>
      </c>
      <c r="N1358" s="30">
        <f>5000</f>
        <v>5000</v>
      </c>
      <c r="O1358" s="30">
        <f t="shared" si="25"/>
        <v>10000</v>
      </c>
      <c r="P1358" s="43"/>
    </row>
    <row r="1359" spans="2:16" x14ac:dyDescent="0.35">
      <c r="B1359" s="83" t="s">
        <v>6088</v>
      </c>
      <c r="C1359" s="90" t="s">
        <v>6091</v>
      </c>
      <c r="D1359" s="84">
        <v>45653</v>
      </c>
      <c r="E1359" s="36">
        <v>45653</v>
      </c>
      <c r="F1359" s="36">
        <v>46752</v>
      </c>
      <c r="G1359" s="64" t="s">
        <v>6</v>
      </c>
      <c r="H1359" s="83" t="s">
        <v>6105</v>
      </c>
      <c r="I1359" s="35" t="s">
        <v>2505</v>
      </c>
      <c r="J1359" s="43" t="s">
        <v>5236</v>
      </c>
      <c r="K1359" s="43" t="s">
        <v>3181</v>
      </c>
      <c r="L1359" s="85">
        <v>25000</v>
      </c>
      <c r="M1359" s="30">
        <v>0</v>
      </c>
      <c r="N1359" s="30">
        <f>5000</f>
        <v>5000</v>
      </c>
      <c r="O1359" s="30">
        <f t="shared" si="25"/>
        <v>20000</v>
      </c>
      <c r="P1359" s="43"/>
    </row>
    <row r="1360" spans="2:16" x14ac:dyDescent="0.35">
      <c r="B1360" s="83" t="s">
        <v>6088</v>
      </c>
      <c r="C1360" s="90" t="s">
        <v>6092</v>
      </c>
      <c r="D1360" s="84">
        <v>45653</v>
      </c>
      <c r="E1360" s="36">
        <v>45653</v>
      </c>
      <c r="F1360" s="36">
        <v>46387</v>
      </c>
      <c r="G1360" s="64" t="s">
        <v>6</v>
      </c>
      <c r="H1360" s="83" t="s">
        <v>6106</v>
      </c>
      <c r="I1360" s="35" t="s">
        <v>2500</v>
      </c>
      <c r="J1360" s="43" t="s">
        <v>5236</v>
      </c>
      <c r="K1360" s="43" t="s">
        <v>3181</v>
      </c>
      <c r="L1360" s="85">
        <v>20000</v>
      </c>
      <c r="M1360" s="30">
        <v>0</v>
      </c>
      <c r="N1360" s="30">
        <f>5000</f>
        <v>5000</v>
      </c>
      <c r="O1360" s="30">
        <f t="shared" si="25"/>
        <v>15000</v>
      </c>
      <c r="P1360" s="43"/>
    </row>
    <row r="1361" spans="2:16" x14ac:dyDescent="0.35">
      <c r="B1361" s="83" t="s">
        <v>6088</v>
      </c>
      <c r="C1361" s="90" t="s">
        <v>6093</v>
      </c>
      <c r="D1361" s="84">
        <v>45653</v>
      </c>
      <c r="E1361" s="36">
        <v>45653</v>
      </c>
      <c r="F1361" s="36">
        <v>46022</v>
      </c>
      <c r="G1361" s="64" t="s">
        <v>6</v>
      </c>
      <c r="H1361" s="83" t="s">
        <v>6107</v>
      </c>
      <c r="I1361" s="35" t="s">
        <v>2479</v>
      </c>
      <c r="J1361" s="43" t="s">
        <v>5236</v>
      </c>
      <c r="K1361" s="43" t="s">
        <v>3181</v>
      </c>
      <c r="L1361" s="85">
        <v>10000</v>
      </c>
      <c r="M1361" s="30">
        <v>0</v>
      </c>
      <c r="N1361" s="30">
        <f>5000</f>
        <v>5000</v>
      </c>
      <c r="O1361" s="30">
        <f t="shared" si="25"/>
        <v>5000</v>
      </c>
      <c r="P1361" s="43"/>
    </row>
    <row r="1362" spans="2:16" x14ac:dyDescent="0.35">
      <c r="B1362" s="83" t="s">
        <v>6088</v>
      </c>
      <c r="C1362" s="90" t="s">
        <v>6094</v>
      </c>
      <c r="D1362" s="84">
        <v>45653</v>
      </c>
      <c r="E1362" s="36">
        <v>45653</v>
      </c>
      <c r="F1362" s="36">
        <v>47118</v>
      </c>
      <c r="G1362" s="64" t="s">
        <v>6</v>
      </c>
      <c r="H1362" s="83" t="s">
        <v>6115</v>
      </c>
      <c r="I1362" s="35" t="s">
        <v>2479</v>
      </c>
      <c r="J1362" s="43" t="s">
        <v>5236</v>
      </c>
      <c r="K1362" s="43" t="s">
        <v>3181</v>
      </c>
      <c r="L1362" s="85">
        <v>35000</v>
      </c>
      <c r="M1362" s="30">
        <v>0</v>
      </c>
      <c r="N1362" s="30"/>
      <c r="O1362" s="30">
        <f t="shared" si="25"/>
        <v>35000</v>
      </c>
      <c r="P1362" s="43"/>
    </row>
    <row r="1363" spans="2:16" x14ac:dyDescent="0.35">
      <c r="B1363" s="83" t="s">
        <v>6088</v>
      </c>
      <c r="C1363" s="90" t="s">
        <v>6095</v>
      </c>
      <c r="D1363" s="84">
        <v>45656</v>
      </c>
      <c r="E1363" s="36">
        <v>45656</v>
      </c>
      <c r="F1363" s="36">
        <v>46387</v>
      </c>
      <c r="G1363" s="64" t="s">
        <v>6</v>
      </c>
      <c r="H1363" s="83" t="s">
        <v>6116</v>
      </c>
      <c r="I1363" s="35" t="s">
        <v>2485</v>
      </c>
      <c r="J1363" s="43" t="s">
        <v>5236</v>
      </c>
      <c r="K1363" s="43" t="s">
        <v>3181</v>
      </c>
      <c r="L1363" s="85">
        <v>20000</v>
      </c>
      <c r="M1363" s="30">
        <v>0</v>
      </c>
      <c r="N1363" s="30">
        <f>5000</f>
        <v>5000</v>
      </c>
      <c r="O1363" s="30">
        <f t="shared" si="25"/>
        <v>15000</v>
      </c>
      <c r="P1363" s="43"/>
    </row>
    <row r="1364" spans="2:16" x14ac:dyDescent="0.35">
      <c r="B1364" s="83" t="s">
        <v>6088</v>
      </c>
      <c r="C1364" s="90" t="s">
        <v>6096</v>
      </c>
      <c r="D1364" s="84">
        <v>45656</v>
      </c>
      <c r="E1364" s="36">
        <v>45656</v>
      </c>
      <c r="F1364" s="36">
        <v>47118</v>
      </c>
      <c r="G1364" s="64" t="s">
        <v>6</v>
      </c>
      <c r="H1364" s="83" t="s">
        <v>6108</v>
      </c>
      <c r="I1364" s="35" t="s">
        <v>2477</v>
      </c>
      <c r="J1364" s="43" t="s">
        <v>5236</v>
      </c>
      <c r="K1364" s="43" t="s">
        <v>3181</v>
      </c>
      <c r="L1364" s="85">
        <v>35000</v>
      </c>
      <c r="M1364" s="30">
        <v>0</v>
      </c>
      <c r="N1364" s="30">
        <v>5000</v>
      </c>
      <c r="O1364" s="30">
        <f t="shared" si="25"/>
        <v>30000</v>
      </c>
      <c r="P1364" s="43"/>
    </row>
    <row r="1365" spans="2:16" x14ac:dyDescent="0.35">
      <c r="B1365" s="83" t="s">
        <v>6088</v>
      </c>
      <c r="C1365" s="90" t="s">
        <v>6097</v>
      </c>
      <c r="D1365" s="84">
        <v>45656</v>
      </c>
      <c r="E1365" s="36">
        <v>45656</v>
      </c>
      <c r="F1365" s="36">
        <v>46387</v>
      </c>
      <c r="G1365" s="64" t="s">
        <v>6</v>
      </c>
      <c r="H1365" s="83" t="s">
        <v>6109</v>
      </c>
      <c r="I1365" s="35" t="s">
        <v>6111</v>
      </c>
      <c r="J1365" s="43" t="s">
        <v>5236</v>
      </c>
      <c r="K1365" s="43" t="s">
        <v>3181</v>
      </c>
      <c r="L1365" s="85">
        <v>20000</v>
      </c>
      <c r="M1365" s="30">
        <v>0</v>
      </c>
      <c r="N1365" s="30">
        <f>5000</f>
        <v>5000</v>
      </c>
      <c r="O1365" s="30">
        <f t="shared" si="25"/>
        <v>15000</v>
      </c>
      <c r="P1365" s="43"/>
    </row>
    <row r="1366" spans="2:16" x14ac:dyDescent="0.35">
      <c r="B1366" s="83" t="s">
        <v>6088</v>
      </c>
      <c r="C1366" s="90" t="s">
        <v>6098</v>
      </c>
      <c r="D1366" s="84">
        <v>45656</v>
      </c>
      <c r="E1366" s="36">
        <v>45656</v>
      </c>
      <c r="F1366" s="36">
        <v>46387</v>
      </c>
      <c r="G1366" s="64" t="s">
        <v>6</v>
      </c>
      <c r="H1366" s="83" t="s">
        <v>6110</v>
      </c>
      <c r="I1366" s="35" t="s">
        <v>2490</v>
      </c>
      <c r="J1366" s="43" t="s">
        <v>5236</v>
      </c>
      <c r="K1366" s="43" t="s">
        <v>3181</v>
      </c>
      <c r="L1366" s="85">
        <v>20000</v>
      </c>
      <c r="M1366" s="30">
        <v>0</v>
      </c>
      <c r="N1366" s="30">
        <f>5000</f>
        <v>5000</v>
      </c>
      <c r="O1366" s="30">
        <f t="shared" si="25"/>
        <v>15000</v>
      </c>
      <c r="P1366" s="43"/>
    </row>
    <row r="1367" spans="2:16" x14ac:dyDescent="0.35">
      <c r="B1367" s="83" t="s">
        <v>6088</v>
      </c>
      <c r="C1367" s="90" t="s">
        <v>6099</v>
      </c>
      <c r="D1367" s="84">
        <v>45656</v>
      </c>
      <c r="E1367" s="36">
        <v>45656</v>
      </c>
      <c r="F1367" s="36">
        <v>46752</v>
      </c>
      <c r="G1367" s="64" t="s">
        <v>6</v>
      </c>
      <c r="H1367" s="83" t="s">
        <v>6117</v>
      </c>
      <c r="I1367" s="35" t="s">
        <v>2480</v>
      </c>
      <c r="J1367" s="43" t="s">
        <v>5236</v>
      </c>
      <c r="K1367" s="43" t="s">
        <v>3181</v>
      </c>
      <c r="L1367" s="85">
        <v>25000</v>
      </c>
      <c r="M1367" s="30">
        <v>0</v>
      </c>
      <c r="N1367" s="30">
        <f>5000</f>
        <v>5000</v>
      </c>
      <c r="O1367" s="30">
        <f>L1367-M1367-N1367</f>
        <v>20000</v>
      </c>
      <c r="P1367" s="43"/>
    </row>
    <row r="1368" spans="2:16" x14ac:dyDescent="0.35">
      <c r="B1368" s="72" t="s">
        <v>6128</v>
      </c>
      <c r="C1368" s="89" t="s">
        <v>6129</v>
      </c>
      <c r="D1368" s="88">
        <v>45699</v>
      </c>
      <c r="E1368" s="36">
        <v>45699</v>
      </c>
      <c r="F1368" s="36">
        <v>47889</v>
      </c>
      <c r="G1368" s="64" t="s">
        <v>6</v>
      </c>
      <c r="H1368" s="75" t="s">
        <v>6200</v>
      </c>
      <c r="I1368" s="35" t="s">
        <v>2475</v>
      </c>
      <c r="J1368" s="72" t="s">
        <v>5766</v>
      </c>
      <c r="K1368" s="43" t="s">
        <v>5847</v>
      </c>
      <c r="L1368" s="85">
        <v>36000</v>
      </c>
      <c r="M1368" s="30">
        <v>0</v>
      </c>
      <c r="N1368" s="82"/>
      <c r="O1368" s="30">
        <f t="shared" ref="O1368:O1430" si="26">L1368-M1368-N1368</f>
        <v>36000</v>
      </c>
      <c r="P1368" s="44">
        <v>2.04</v>
      </c>
    </row>
    <row r="1369" spans="2:16" x14ac:dyDescent="0.35">
      <c r="B1369" s="72" t="s">
        <v>6130</v>
      </c>
      <c r="C1369" s="89" t="s">
        <v>6131</v>
      </c>
      <c r="D1369" s="88">
        <v>45699</v>
      </c>
      <c r="E1369" s="36">
        <v>45699</v>
      </c>
      <c r="F1369" s="36">
        <v>46793</v>
      </c>
      <c r="G1369" s="64" t="s">
        <v>6</v>
      </c>
      <c r="H1369" s="72" t="s">
        <v>6200</v>
      </c>
      <c r="I1369" s="35" t="s">
        <v>2475</v>
      </c>
      <c r="J1369" s="75" t="s">
        <v>5793</v>
      </c>
      <c r="K1369" s="43" t="s">
        <v>2583</v>
      </c>
      <c r="L1369" s="85">
        <v>8250</v>
      </c>
      <c r="M1369" s="30">
        <v>0</v>
      </c>
      <c r="N1369" s="30"/>
      <c r="O1369" s="30">
        <f t="shared" si="26"/>
        <v>8250</v>
      </c>
      <c r="P1369" s="44">
        <v>2.04</v>
      </c>
    </row>
    <row r="1370" spans="2:16" x14ac:dyDescent="0.35">
      <c r="B1370" s="72" t="s">
        <v>5826</v>
      </c>
      <c r="C1370" s="89" t="s">
        <v>6132</v>
      </c>
      <c r="D1370" s="88">
        <v>45699</v>
      </c>
      <c r="E1370" s="36">
        <v>45699</v>
      </c>
      <c r="F1370" s="36">
        <v>46680</v>
      </c>
      <c r="G1370" s="64" t="s">
        <v>6</v>
      </c>
      <c r="H1370" s="72" t="s">
        <v>5923</v>
      </c>
      <c r="I1370" s="35" t="s">
        <v>2804</v>
      </c>
      <c r="J1370" s="72" t="s">
        <v>5766</v>
      </c>
      <c r="K1370" s="43" t="s">
        <v>5847</v>
      </c>
      <c r="L1370" s="85">
        <v>16680</v>
      </c>
      <c r="M1370" s="30">
        <v>0</v>
      </c>
      <c r="N1370" s="30"/>
      <c r="O1370" s="30">
        <f t="shared" si="26"/>
        <v>16680</v>
      </c>
      <c r="P1370" s="44">
        <v>3.18</v>
      </c>
    </row>
    <row r="1371" spans="2:16" x14ac:dyDescent="0.35">
      <c r="B1371" s="72" t="s">
        <v>6133</v>
      </c>
      <c r="C1371" s="89" t="s">
        <v>6134</v>
      </c>
      <c r="D1371" s="88">
        <v>45699</v>
      </c>
      <c r="E1371" s="36">
        <v>45699</v>
      </c>
      <c r="F1371" s="36">
        <v>47524</v>
      </c>
      <c r="G1371" s="64" t="s">
        <v>6</v>
      </c>
      <c r="H1371" s="72" t="s">
        <v>277</v>
      </c>
      <c r="I1371" s="35" t="s">
        <v>2483</v>
      </c>
      <c r="J1371" s="72" t="s">
        <v>6242</v>
      </c>
      <c r="K1371" s="43" t="s">
        <v>2585</v>
      </c>
      <c r="L1371" s="85">
        <v>4000000</v>
      </c>
      <c r="M1371" s="30">
        <v>0</v>
      </c>
      <c r="N1371" s="30"/>
      <c r="O1371" s="30">
        <f t="shared" si="26"/>
        <v>4000000</v>
      </c>
      <c r="P1371" s="44">
        <v>4.67</v>
      </c>
    </row>
    <row r="1372" spans="2:16" x14ac:dyDescent="0.35">
      <c r="B1372" s="72" t="s">
        <v>6135</v>
      </c>
      <c r="C1372" s="89" t="s">
        <v>6136</v>
      </c>
      <c r="D1372" s="88">
        <v>45699</v>
      </c>
      <c r="E1372" s="36">
        <v>45699</v>
      </c>
      <c r="F1372" s="36">
        <v>47524</v>
      </c>
      <c r="G1372" s="64" t="s">
        <v>6</v>
      </c>
      <c r="H1372" s="72" t="s">
        <v>6201</v>
      </c>
      <c r="I1372" s="35" t="s">
        <v>3011</v>
      </c>
      <c r="J1372" s="75" t="s">
        <v>5793</v>
      </c>
      <c r="K1372" s="43" t="s">
        <v>2583</v>
      </c>
      <c r="L1372" s="85">
        <v>1740000</v>
      </c>
      <c r="M1372" s="30">
        <v>0</v>
      </c>
      <c r="N1372" s="30"/>
      <c r="O1372" s="30">
        <f t="shared" si="26"/>
        <v>1740000</v>
      </c>
      <c r="P1372" s="44">
        <v>2.5499999999999998</v>
      </c>
    </row>
    <row r="1373" spans="2:16" x14ac:dyDescent="0.35">
      <c r="B1373" s="72" t="s">
        <v>6137</v>
      </c>
      <c r="C1373" s="89" t="s">
        <v>6138</v>
      </c>
      <c r="D1373" s="88">
        <v>45699</v>
      </c>
      <c r="E1373" s="36">
        <v>45699</v>
      </c>
      <c r="F1373" s="36">
        <v>47524</v>
      </c>
      <c r="G1373" s="64" t="s">
        <v>6</v>
      </c>
      <c r="H1373" s="72" t="s">
        <v>6201</v>
      </c>
      <c r="I1373" s="35" t="s">
        <v>3011</v>
      </c>
      <c r="J1373" s="72" t="s">
        <v>5766</v>
      </c>
      <c r="K1373" s="43" t="s">
        <v>5847</v>
      </c>
      <c r="L1373" s="85">
        <v>18000000</v>
      </c>
      <c r="M1373" s="30">
        <v>0</v>
      </c>
      <c r="N1373" s="30"/>
      <c r="O1373" s="30">
        <f t="shared" si="26"/>
        <v>18000000</v>
      </c>
      <c r="P1373" s="44">
        <v>2.5499999999999998</v>
      </c>
    </row>
    <row r="1374" spans="2:16" ht="29" x14ac:dyDescent="0.35">
      <c r="B1374" s="72" t="s">
        <v>5831</v>
      </c>
      <c r="C1374" s="89" t="s">
        <v>6139</v>
      </c>
      <c r="D1374" s="88">
        <v>45699</v>
      </c>
      <c r="E1374" s="36">
        <v>45699</v>
      </c>
      <c r="F1374" s="36">
        <v>46793</v>
      </c>
      <c r="G1374" s="64" t="s">
        <v>6</v>
      </c>
      <c r="H1374" s="72" t="s">
        <v>5679</v>
      </c>
      <c r="I1374" s="35" t="s">
        <v>2522</v>
      </c>
      <c r="J1374" s="72" t="s">
        <v>5803</v>
      </c>
      <c r="K1374" s="43" t="s">
        <v>2573</v>
      </c>
      <c r="L1374" s="85">
        <v>1000</v>
      </c>
      <c r="M1374" s="30">
        <v>0</v>
      </c>
      <c r="N1374" s="30">
        <f>948.71</f>
        <v>948.71</v>
      </c>
      <c r="O1374" s="30">
        <f t="shared" si="26"/>
        <v>51.289999999999964</v>
      </c>
      <c r="P1374" s="43" t="s">
        <v>6677</v>
      </c>
    </row>
    <row r="1375" spans="2:16" x14ac:dyDescent="0.35">
      <c r="B1375" s="72" t="s">
        <v>5788</v>
      </c>
      <c r="C1375" s="89" t="s">
        <v>6140</v>
      </c>
      <c r="D1375" s="88">
        <v>45700</v>
      </c>
      <c r="E1375" s="36">
        <v>45700</v>
      </c>
      <c r="F1375" s="36">
        <v>46064</v>
      </c>
      <c r="G1375" s="64" t="s">
        <v>6</v>
      </c>
      <c r="H1375" s="72" t="s">
        <v>6202</v>
      </c>
      <c r="I1375" s="35" t="s">
        <v>2494</v>
      </c>
      <c r="J1375" s="72" t="s">
        <v>4704</v>
      </c>
      <c r="K1375" s="43" t="s">
        <v>3182</v>
      </c>
      <c r="L1375" s="85">
        <v>4000</v>
      </c>
      <c r="M1375" s="30">
        <v>0</v>
      </c>
      <c r="N1375" s="30"/>
      <c r="O1375" s="30">
        <f t="shared" si="26"/>
        <v>4000</v>
      </c>
      <c r="P1375" s="43"/>
    </row>
    <row r="1376" spans="2:16" x14ac:dyDescent="0.35">
      <c r="B1376" s="72" t="s">
        <v>5788</v>
      </c>
      <c r="C1376" s="89" t="s">
        <v>6141</v>
      </c>
      <c r="D1376" s="88">
        <v>45700</v>
      </c>
      <c r="E1376" s="36">
        <v>45700</v>
      </c>
      <c r="F1376" s="36">
        <v>46064</v>
      </c>
      <c r="G1376" s="64" t="s">
        <v>6</v>
      </c>
      <c r="H1376" s="72" t="s">
        <v>6203</v>
      </c>
      <c r="I1376" s="35" t="s">
        <v>2484</v>
      </c>
      <c r="J1376" s="72" t="s">
        <v>4704</v>
      </c>
      <c r="K1376" s="43" t="s">
        <v>3182</v>
      </c>
      <c r="L1376" s="85">
        <v>10000</v>
      </c>
      <c r="M1376" s="30">
        <v>0</v>
      </c>
      <c r="N1376" s="30">
        <f>6614.4</f>
        <v>6614.4</v>
      </c>
      <c r="O1376" s="30">
        <f t="shared" si="26"/>
        <v>3385.6000000000004</v>
      </c>
      <c r="P1376" s="43"/>
    </row>
    <row r="1377" spans="2:16" x14ac:dyDescent="0.35">
      <c r="B1377" s="72" t="s">
        <v>5788</v>
      </c>
      <c r="C1377" s="89" t="s">
        <v>6142</v>
      </c>
      <c r="D1377" s="88">
        <v>45700</v>
      </c>
      <c r="E1377" s="36">
        <v>45700</v>
      </c>
      <c r="F1377" s="36">
        <v>46064</v>
      </c>
      <c r="G1377" s="64" t="s">
        <v>6</v>
      </c>
      <c r="H1377" s="72" t="s">
        <v>6204</v>
      </c>
      <c r="I1377" s="35" t="s">
        <v>2534</v>
      </c>
      <c r="J1377" s="72" t="s">
        <v>4704</v>
      </c>
      <c r="K1377" s="43" t="s">
        <v>3182</v>
      </c>
      <c r="L1377" s="85">
        <v>10000</v>
      </c>
      <c r="M1377" s="30">
        <v>0</v>
      </c>
      <c r="N1377" s="30"/>
      <c r="O1377" s="30">
        <f t="shared" si="26"/>
        <v>10000</v>
      </c>
      <c r="P1377" s="43"/>
    </row>
    <row r="1378" spans="2:16" x14ac:dyDescent="0.35">
      <c r="B1378" s="72" t="s">
        <v>5788</v>
      </c>
      <c r="C1378" s="89" t="s">
        <v>6143</v>
      </c>
      <c r="D1378" s="88">
        <v>45700</v>
      </c>
      <c r="E1378" s="36">
        <v>45700</v>
      </c>
      <c r="F1378" s="36">
        <v>46064</v>
      </c>
      <c r="G1378" s="64" t="s">
        <v>6</v>
      </c>
      <c r="H1378" s="72" t="s">
        <v>6205</v>
      </c>
      <c r="I1378" s="35" t="s">
        <v>2816</v>
      </c>
      <c r="J1378" s="72" t="s">
        <v>4704</v>
      </c>
      <c r="K1378" s="43" t="s">
        <v>3182</v>
      </c>
      <c r="L1378" s="85">
        <v>6000</v>
      </c>
      <c r="M1378" s="30">
        <v>0</v>
      </c>
      <c r="N1378" s="30"/>
      <c r="O1378" s="30">
        <f t="shared" si="26"/>
        <v>6000</v>
      </c>
      <c r="P1378" s="43"/>
    </row>
    <row r="1379" spans="2:16" ht="29" x14ac:dyDescent="0.35">
      <c r="B1379" s="72" t="s">
        <v>6144</v>
      </c>
      <c r="C1379" s="89" t="s">
        <v>6145</v>
      </c>
      <c r="D1379" s="88">
        <v>45700</v>
      </c>
      <c r="E1379" s="36">
        <v>45700</v>
      </c>
      <c r="F1379" s="36">
        <v>45930</v>
      </c>
      <c r="G1379" s="64" t="s">
        <v>6</v>
      </c>
      <c r="H1379" s="72" t="s">
        <v>1414</v>
      </c>
      <c r="I1379" s="35" t="s">
        <v>2480</v>
      </c>
      <c r="J1379" s="72" t="s">
        <v>6034</v>
      </c>
      <c r="K1379" s="43" t="s">
        <v>2581</v>
      </c>
      <c r="L1379" s="85">
        <v>8500</v>
      </c>
      <c r="M1379" s="30">
        <v>0</v>
      </c>
      <c r="N1379" s="30">
        <f>5209</f>
        <v>5209</v>
      </c>
      <c r="O1379" s="30">
        <f t="shared" si="26"/>
        <v>3291</v>
      </c>
      <c r="P1379" s="43"/>
    </row>
    <row r="1380" spans="2:16" ht="29" x14ac:dyDescent="0.35">
      <c r="B1380" s="72" t="s">
        <v>6146</v>
      </c>
      <c r="C1380" s="89" t="s">
        <v>6147</v>
      </c>
      <c r="D1380" s="88">
        <v>45700</v>
      </c>
      <c r="E1380" s="36">
        <v>45700</v>
      </c>
      <c r="F1380" s="36">
        <v>45930</v>
      </c>
      <c r="G1380" s="64" t="s">
        <v>6</v>
      </c>
      <c r="H1380" s="72" t="s">
        <v>1423</v>
      </c>
      <c r="I1380" s="35" t="s">
        <v>2540</v>
      </c>
      <c r="J1380" s="72" t="s">
        <v>6034</v>
      </c>
      <c r="K1380" s="43" t="s">
        <v>2581</v>
      </c>
      <c r="L1380" s="85">
        <v>46000</v>
      </c>
      <c r="M1380" s="30">
        <v>0</v>
      </c>
      <c r="N1380" s="30">
        <f>28476.19+12573.81</f>
        <v>41050</v>
      </c>
      <c r="O1380" s="30">
        <f t="shared" si="26"/>
        <v>4950</v>
      </c>
      <c r="P1380" s="44" t="s">
        <v>2874</v>
      </c>
    </row>
    <row r="1381" spans="2:16" ht="29" x14ac:dyDescent="0.35">
      <c r="B1381" s="72" t="s">
        <v>6148</v>
      </c>
      <c r="C1381" s="89" t="s">
        <v>6149</v>
      </c>
      <c r="D1381" s="88">
        <v>45700</v>
      </c>
      <c r="E1381" s="36">
        <v>45700</v>
      </c>
      <c r="F1381" s="36">
        <v>45930</v>
      </c>
      <c r="G1381" s="64" t="s">
        <v>6</v>
      </c>
      <c r="H1381" s="72" t="s">
        <v>5576</v>
      </c>
      <c r="I1381" s="35" t="s">
        <v>2507</v>
      </c>
      <c r="J1381" s="72" t="s">
        <v>6034</v>
      </c>
      <c r="K1381" s="43" t="s">
        <v>2581</v>
      </c>
      <c r="L1381" s="85">
        <v>5000</v>
      </c>
      <c r="M1381" s="30">
        <v>0</v>
      </c>
      <c r="N1381" s="30">
        <f>639+699+570</f>
        <v>1908</v>
      </c>
      <c r="O1381" s="30">
        <f>L1381-M1381-N1381</f>
        <v>3092</v>
      </c>
      <c r="P1381" s="43" t="s">
        <v>2874</v>
      </c>
    </row>
    <row r="1382" spans="2:16" x14ac:dyDescent="0.35">
      <c r="B1382" s="72" t="s">
        <v>5788</v>
      </c>
      <c r="C1382" s="89" t="s">
        <v>6150</v>
      </c>
      <c r="D1382" s="88">
        <v>45700</v>
      </c>
      <c r="E1382" s="36">
        <v>45700</v>
      </c>
      <c r="F1382" s="36">
        <v>46064</v>
      </c>
      <c r="G1382" s="64" t="s">
        <v>6</v>
      </c>
      <c r="H1382" s="72" t="s">
        <v>6206</v>
      </c>
      <c r="I1382" s="35" t="s">
        <v>2480</v>
      </c>
      <c r="J1382" s="72" t="s">
        <v>4704</v>
      </c>
      <c r="K1382" s="43" t="s">
        <v>3182</v>
      </c>
      <c r="L1382" s="85">
        <v>10000</v>
      </c>
      <c r="M1382" s="30">
        <v>0</v>
      </c>
      <c r="N1382" s="30">
        <f>1524</f>
        <v>1524</v>
      </c>
      <c r="O1382" s="30">
        <f t="shared" si="26"/>
        <v>8476</v>
      </c>
      <c r="P1382" s="43"/>
    </row>
    <row r="1383" spans="2:16" ht="29" x14ac:dyDescent="0.35">
      <c r="B1383" s="72" t="s">
        <v>5788</v>
      </c>
      <c r="C1383" s="89" t="s">
        <v>6151</v>
      </c>
      <c r="D1383" s="88">
        <v>45700</v>
      </c>
      <c r="E1383" s="36">
        <v>45700</v>
      </c>
      <c r="F1383" s="36">
        <v>46064</v>
      </c>
      <c r="G1383" s="64" t="s">
        <v>6</v>
      </c>
      <c r="H1383" s="72" t="s">
        <v>6243</v>
      </c>
      <c r="I1383" s="35" t="s">
        <v>2485</v>
      </c>
      <c r="J1383" s="72" t="s">
        <v>4704</v>
      </c>
      <c r="K1383" s="43" t="s">
        <v>3182</v>
      </c>
      <c r="L1383" s="85">
        <v>10000</v>
      </c>
      <c r="M1383" s="30">
        <v>0</v>
      </c>
      <c r="N1383" s="30"/>
      <c r="O1383" s="30">
        <f t="shared" si="26"/>
        <v>10000</v>
      </c>
      <c r="P1383" s="43"/>
    </row>
    <row r="1384" spans="2:16" x14ac:dyDescent="0.35">
      <c r="B1384" s="72" t="s">
        <v>5788</v>
      </c>
      <c r="C1384" s="89" t="s">
        <v>6152</v>
      </c>
      <c r="D1384" s="88">
        <v>45700</v>
      </c>
      <c r="E1384" s="36">
        <v>45700</v>
      </c>
      <c r="F1384" s="36">
        <v>46064</v>
      </c>
      <c r="G1384" s="64" t="s">
        <v>6</v>
      </c>
      <c r="H1384" s="72" t="s">
        <v>6207</v>
      </c>
      <c r="I1384" s="35" t="s">
        <v>2507</v>
      </c>
      <c r="J1384" s="72" t="s">
        <v>4704</v>
      </c>
      <c r="K1384" s="43" t="s">
        <v>3182</v>
      </c>
      <c r="L1384" s="85">
        <v>10000</v>
      </c>
      <c r="M1384" s="30">
        <v>0</v>
      </c>
      <c r="N1384" s="30"/>
      <c r="O1384" s="30">
        <f t="shared" si="26"/>
        <v>10000</v>
      </c>
      <c r="P1384" s="43"/>
    </row>
    <row r="1385" spans="2:16" x14ac:dyDescent="0.35">
      <c r="B1385" s="72" t="s">
        <v>5788</v>
      </c>
      <c r="C1385" s="89" t="s">
        <v>6153</v>
      </c>
      <c r="D1385" s="88">
        <v>45700</v>
      </c>
      <c r="E1385" s="36">
        <v>45700</v>
      </c>
      <c r="F1385" s="36">
        <v>46064</v>
      </c>
      <c r="G1385" s="64" t="s">
        <v>6</v>
      </c>
      <c r="H1385" s="72" t="s">
        <v>6208</v>
      </c>
      <c r="I1385" s="35" t="s">
        <v>2484</v>
      </c>
      <c r="J1385" s="72" t="s">
        <v>4704</v>
      </c>
      <c r="K1385" s="43" t="s">
        <v>3182</v>
      </c>
      <c r="L1385" s="85">
        <v>10000</v>
      </c>
      <c r="M1385" s="30">
        <f>10000</f>
        <v>10000</v>
      </c>
      <c r="N1385" s="30"/>
      <c r="O1385" s="30">
        <f t="shared" si="26"/>
        <v>0</v>
      </c>
      <c r="P1385" s="43"/>
    </row>
    <row r="1386" spans="2:16" x14ac:dyDescent="0.35">
      <c r="B1386" s="72" t="s">
        <v>5788</v>
      </c>
      <c r="C1386" s="89" t="s">
        <v>6154</v>
      </c>
      <c r="D1386" s="88">
        <v>45700</v>
      </c>
      <c r="E1386" s="36">
        <v>45700</v>
      </c>
      <c r="F1386" s="36">
        <v>46064</v>
      </c>
      <c r="G1386" s="64" t="s">
        <v>6</v>
      </c>
      <c r="H1386" s="72" t="s">
        <v>6209</v>
      </c>
      <c r="I1386" s="35" t="s">
        <v>2483</v>
      </c>
      <c r="J1386" s="72" t="s">
        <v>4704</v>
      </c>
      <c r="K1386" s="43" t="s">
        <v>3182</v>
      </c>
      <c r="L1386" s="85">
        <v>10000</v>
      </c>
      <c r="M1386" s="30">
        <v>0</v>
      </c>
      <c r="N1386" s="30"/>
      <c r="O1386" s="30">
        <f t="shared" si="26"/>
        <v>10000</v>
      </c>
      <c r="P1386" s="43"/>
    </row>
    <row r="1387" spans="2:16" x14ac:dyDescent="0.35">
      <c r="B1387" s="72" t="s">
        <v>5788</v>
      </c>
      <c r="C1387" s="89" t="s">
        <v>6155</v>
      </c>
      <c r="D1387" s="88">
        <v>45700</v>
      </c>
      <c r="E1387" s="36">
        <v>45700</v>
      </c>
      <c r="F1387" s="36">
        <v>46064</v>
      </c>
      <c r="G1387" s="64" t="s">
        <v>6</v>
      </c>
      <c r="H1387" s="72" t="s">
        <v>6210</v>
      </c>
      <c r="I1387" s="35" t="s">
        <v>2495</v>
      </c>
      <c r="J1387" s="72" t="s">
        <v>4704</v>
      </c>
      <c r="K1387" s="43" t="s">
        <v>3182</v>
      </c>
      <c r="L1387" s="85">
        <v>5465</v>
      </c>
      <c r="M1387" s="30">
        <v>0</v>
      </c>
      <c r="N1387" s="30"/>
      <c r="O1387" s="30">
        <f t="shared" si="26"/>
        <v>5465</v>
      </c>
      <c r="P1387" s="43"/>
    </row>
    <row r="1388" spans="2:16" ht="29" x14ac:dyDescent="0.35">
      <c r="B1388" s="72" t="s">
        <v>5788</v>
      </c>
      <c r="C1388" s="89" t="s">
        <v>6156</v>
      </c>
      <c r="D1388" s="88">
        <v>45700</v>
      </c>
      <c r="E1388" s="36">
        <v>45700</v>
      </c>
      <c r="F1388" s="36">
        <v>46064</v>
      </c>
      <c r="G1388" s="64" t="s">
        <v>6</v>
      </c>
      <c r="H1388" s="72" t="s">
        <v>6211</v>
      </c>
      <c r="I1388" s="35" t="s">
        <v>2494</v>
      </c>
      <c r="J1388" s="72" t="s">
        <v>4704</v>
      </c>
      <c r="K1388" s="43" t="s">
        <v>3182</v>
      </c>
      <c r="L1388" s="85">
        <v>10000</v>
      </c>
      <c r="M1388" s="30">
        <v>0</v>
      </c>
      <c r="N1388" s="30"/>
      <c r="O1388" s="30">
        <f t="shared" si="26"/>
        <v>10000</v>
      </c>
      <c r="P1388" s="43"/>
    </row>
    <row r="1389" spans="2:16" x14ac:dyDescent="0.35">
      <c r="B1389" s="72" t="s">
        <v>5788</v>
      </c>
      <c r="C1389" s="89" t="s">
        <v>6157</v>
      </c>
      <c r="D1389" s="88">
        <v>45700</v>
      </c>
      <c r="E1389" s="36">
        <v>45700</v>
      </c>
      <c r="F1389" s="36">
        <v>46064</v>
      </c>
      <c r="G1389" s="64" t="s">
        <v>6</v>
      </c>
      <c r="H1389" s="72" t="s">
        <v>6212</v>
      </c>
      <c r="I1389" s="35" t="s">
        <v>2480</v>
      </c>
      <c r="J1389" s="72" t="s">
        <v>4704</v>
      </c>
      <c r="K1389" s="43" t="s">
        <v>3182</v>
      </c>
      <c r="L1389" s="85">
        <v>10000</v>
      </c>
      <c r="M1389" s="30"/>
      <c r="N1389" s="30">
        <f>1717.35</f>
        <v>1717.35</v>
      </c>
      <c r="O1389" s="30">
        <f t="shared" si="26"/>
        <v>8282.65</v>
      </c>
      <c r="P1389" s="43"/>
    </row>
    <row r="1390" spans="2:16" x14ac:dyDescent="0.35">
      <c r="B1390" s="72" t="s">
        <v>5788</v>
      </c>
      <c r="C1390" s="89" t="s">
        <v>6158</v>
      </c>
      <c r="D1390" s="88">
        <v>45700</v>
      </c>
      <c r="E1390" s="36">
        <v>45700</v>
      </c>
      <c r="F1390" s="36">
        <v>46064</v>
      </c>
      <c r="G1390" s="64" t="s">
        <v>6</v>
      </c>
      <c r="H1390" s="72" t="s">
        <v>6213</v>
      </c>
      <c r="I1390" s="35" t="s">
        <v>2494</v>
      </c>
      <c r="J1390" s="72" t="s">
        <v>4704</v>
      </c>
      <c r="K1390" s="43" t="s">
        <v>3182</v>
      </c>
      <c r="L1390" s="85">
        <v>10000</v>
      </c>
      <c r="M1390" s="30">
        <v>0</v>
      </c>
      <c r="N1390" s="30"/>
      <c r="O1390" s="30">
        <f t="shared" si="26"/>
        <v>10000</v>
      </c>
      <c r="P1390" s="43"/>
    </row>
    <row r="1391" spans="2:16" x14ac:dyDescent="0.35">
      <c r="B1391" s="72" t="s">
        <v>5788</v>
      </c>
      <c r="C1391" s="89" t="s">
        <v>6159</v>
      </c>
      <c r="D1391" s="88">
        <v>45700</v>
      </c>
      <c r="E1391" s="36">
        <v>45700</v>
      </c>
      <c r="F1391" s="36">
        <v>46064</v>
      </c>
      <c r="G1391" s="64" t="s">
        <v>6</v>
      </c>
      <c r="H1391" s="72" t="s">
        <v>6214</v>
      </c>
      <c r="I1391" s="35" t="s">
        <v>2488</v>
      </c>
      <c r="J1391" s="72" t="s">
        <v>4704</v>
      </c>
      <c r="K1391" s="43" t="s">
        <v>3182</v>
      </c>
      <c r="L1391" s="85">
        <v>10000</v>
      </c>
      <c r="M1391" s="30">
        <v>0</v>
      </c>
      <c r="N1391" s="30"/>
      <c r="O1391" s="30">
        <f t="shared" si="26"/>
        <v>10000</v>
      </c>
      <c r="P1391" s="43"/>
    </row>
    <row r="1392" spans="2:16" x14ac:dyDescent="0.35">
      <c r="B1392" s="72" t="s">
        <v>5788</v>
      </c>
      <c r="C1392" s="89" t="s">
        <v>6160</v>
      </c>
      <c r="D1392" s="88">
        <v>45700</v>
      </c>
      <c r="E1392" s="36">
        <v>45700</v>
      </c>
      <c r="F1392" s="36">
        <v>46064</v>
      </c>
      <c r="G1392" s="64" t="s">
        <v>6</v>
      </c>
      <c r="H1392" s="72" t="s">
        <v>6215</v>
      </c>
      <c r="I1392" s="35" t="s">
        <v>2521</v>
      </c>
      <c r="J1392" s="72" t="s">
        <v>4704</v>
      </c>
      <c r="K1392" s="43" t="s">
        <v>3182</v>
      </c>
      <c r="L1392" s="85">
        <v>8770</v>
      </c>
      <c r="M1392" s="30">
        <v>0</v>
      </c>
      <c r="N1392" s="30"/>
      <c r="O1392" s="30">
        <f t="shared" si="26"/>
        <v>8770</v>
      </c>
      <c r="P1392" s="43"/>
    </row>
    <row r="1393" spans="2:16" ht="29" x14ac:dyDescent="0.35">
      <c r="B1393" s="72" t="s">
        <v>5788</v>
      </c>
      <c r="C1393" s="89" t="s">
        <v>6161</v>
      </c>
      <c r="D1393" s="88">
        <v>45700</v>
      </c>
      <c r="E1393" s="36">
        <v>45700</v>
      </c>
      <c r="F1393" s="36">
        <v>46064</v>
      </c>
      <c r="G1393" s="64" t="s">
        <v>6</v>
      </c>
      <c r="H1393" s="72" t="s">
        <v>6216</v>
      </c>
      <c r="I1393" s="35" t="s">
        <v>2944</v>
      </c>
      <c r="J1393" s="72" t="s">
        <v>4704</v>
      </c>
      <c r="K1393" s="43" t="s">
        <v>3182</v>
      </c>
      <c r="L1393" s="85">
        <v>10000</v>
      </c>
      <c r="M1393" s="30">
        <v>0</v>
      </c>
      <c r="N1393" s="30"/>
      <c r="O1393" s="30">
        <f t="shared" si="26"/>
        <v>10000</v>
      </c>
      <c r="P1393" s="43"/>
    </row>
    <row r="1394" spans="2:16" x14ac:dyDescent="0.35">
      <c r="B1394" s="72" t="s">
        <v>5788</v>
      </c>
      <c r="C1394" s="89" t="s">
        <v>6162</v>
      </c>
      <c r="D1394" s="88">
        <v>45700</v>
      </c>
      <c r="E1394" s="36">
        <v>45700</v>
      </c>
      <c r="F1394" s="36">
        <v>46064</v>
      </c>
      <c r="G1394" s="64" t="s">
        <v>6</v>
      </c>
      <c r="H1394" s="72" t="s">
        <v>6217</v>
      </c>
      <c r="I1394" s="35" t="s">
        <v>2484</v>
      </c>
      <c r="J1394" s="72" t="s">
        <v>4704</v>
      </c>
      <c r="K1394" s="43" t="s">
        <v>3182</v>
      </c>
      <c r="L1394" s="85">
        <v>10000</v>
      </c>
      <c r="M1394" s="30">
        <v>0</v>
      </c>
      <c r="N1394" s="30"/>
      <c r="O1394" s="30">
        <f t="shared" si="26"/>
        <v>10000</v>
      </c>
      <c r="P1394" s="43"/>
    </row>
    <row r="1395" spans="2:16" x14ac:dyDescent="0.35">
      <c r="B1395" s="72" t="s">
        <v>5788</v>
      </c>
      <c r="C1395" s="89" t="s">
        <v>6163</v>
      </c>
      <c r="D1395" s="88">
        <v>45700</v>
      </c>
      <c r="E1395" s="36">
        <v>45700</v>
      </c>
      <c r="F1395" s="36">
        <v>46064</v>
      </c>
      <c r="G1395" s="64" t="s">
        <v>6</v>
      </c>
      <c r="H1395" s="72" t="s">
        <v>6218</v>
      </c>
      <c r="I1395" s="35" t="s">
        <v>3334</v>
      </c>
      <c r="J1395" s="72" t="s">
        <v>4704</v>
      </c>
      <c r="K1395" s="43" t="s">
        <v>3182</v>
      </c>
      <c r="L1395" s="85">
        <v>10000</v>
      </c>
      <c r="M1395" s="30">
        <v>0</v>
      </c>
      <c r="N1395" s="30"/>
      <c r="O1395" s="30">
        <f t="shared" si="26"/>
        <v>10000</v>
      </c>
      <c r="P1395" s="43"/>
    </row>
    <row r="1396" spans="2:16" x14ac:dyDescent="0.35">
      <c r="B1396" s="72" t="s">
        <v>5788</v>
      </c>
      <c r="C1396" s="89" t="s">
        <v>6164</v>
      </c>
      <c r="D1396" s="88">
        <v>45700</v>
      </c>
      <c r="E1396" s="36">
        <v>45700</v>
      </c>
      <c r="F1396" s="36">
        <v>46064</v>
      </c>
      <c r="G1396" s="64" t="s">
        <v>6</v>
      </c>
      <c r="H1396" s="72" t="s">
        <v>6219</v>
      </c>
      <c r="I1396" s="35" t="s">
        <v>2525</v>
      </c>
      <c r="J1396" s="72" t="s">
        <v>4704</v>
      </c>
      <c r="K1396" s="43" t="s">
        <v>3182</v>
      </c>
      <c r="L1396" s="85">
        <v>10000</v>
      </c>
      <c r="M1396" s="30">
        <v>0</v>
      </c>
      <c r="N1396" s="30"/>
      <c r="O1396" s="30">
        <f t="shared" si="26"/>
        <v>10000</v>
      </c>
      <c r="P1396" s="43"/>
    </row>
    <row r="1397" spans="2:16" x14ac:dyDescent="0.35">
      <c r="B1397" s="72" t="s">
        <v>5788</v>
      </c>
      <c r="C1397" s="89" t="s">
        <v>6165</v>
      </c>
      <c r="D1397" s="88">
        <v>45700</v>
      </c>
      <c r="E1397" s="36">
        <v>45700</v>
      </c>
      <c r="F1397" s="36">
        <v>46064</v>
      </c>
      <c r="G1397" s="64" t="s">
        <v>6</v>
      </c>
      <c r="H1397" s="72" t="s">
        <v>6220</v>
      </c>
      <c r="I1397" s="35" t="s">
        <v>2519</v>
      </c>
      <c r="J1397" s="72" t="s">
        <v>4704</v>
      </c>
      <c r="K1397" s="43" t="s">
        <v>3182</v>
      </c>
      <c r="L1397" s="85">
        <v>10000</v>
      </c>
      <c r="M1397" s="30">
        <v>0</v>
      </c>
      <c r="N1397" s="30"/>
      <c r="O1397" s="30">
        <f t="shared" si="26"/>
        <v>10000</v>
      </c>
      <c r="P1397" s="43"/>
    </row>
    <row r="1398" spans="2:16" x14ac:dyDescent="0.35">
      <c r="B1398" s="72" t="s">
        <v>5788</v>
      </c>
      <c r="C1398" s="89" t="s">
        <v>6166</v>
      </c>
      <c r="D1398" s="88">
        <v>45700</v>
      </c>
      <c r="E1398" s="36">
        <v>45700</v>
      </c>
      <c r="F1398" s="36">
        <v>46064</v>
      </c>
      <c r="G1398" s="64" t="s">
        <v>6</v>
      </c>
      <c r="H1398" s="72" t="s">
        <v>6221</v>
      </c>
      <c r="I1398" s="35" t="s">
        <v>2480</v>
      </c>
      <c r="J1398" s="72" t="s">
        <v>4704</v>
      </c>
      <c r="K1398" s="43" t="s">
        <v>3182</v>
      </c>
      <c r="L1398" s="85">
        <v>10000</v>
      </c>
      <c r="M1398" s="30">
        <v>0</v>
      </c>
      <c r="N1398" s="30"/>
      <c r="O1398" s="30">
        <f t="shared" si="26"/>
        <v>10000</v>
      </c>
      <c r="P1398" s="43"/>
    </row>
    <row r="1399" spans="2:16" x14ac:dyDescent="0.35">
      <c r="B1399" s="72" t="s">
        <v>5788</v>
      </c>
      <c r="C1399" s="89" t="s">
        <v>6167</v>
      </c>
      <c r="D1399" s="88">
        <v>45700</v>
      </c>
      <c r="E1399" s="36">
        <v>45700</v>
      </c>
      <c r="F1399" s="36">
        <v>46064</v>
      </c>
      <c r="G1399" s="64" t="s">
        <v>6</v>
      </c>
      <c r="H1399" s="72" t="s">
        <v>6222</v>
      </c>
      <c r="I1399" s="35" t="s">
        <v>2480</v>
      </c>
      <c r="J1399" s="72" t="s">
        <v>4704</v>
      </c>
      <c r="K1399" s="43" t="s">
        <v>3182</v>
      </c>
      <c r="L1399" s="85">
        <v>10000</v>
      </c>
      <c r="M1399" s="30">
        <v>0</v>
      </c>
      <c r="N1399" s="30">
        <f>1450</f>
        <v>1450</v>
      </c>
      <c r="O1399" s="30">
        <f t="shared" si="26"/>
        <v>8550</v>
      </c>
      <c r="P1399" s="43"/>
    </row>
    <row r="1400" spans="2:16" x14ac:dyDescent="0.35">
      <c r="B1400" s="72" t="s">
        <v>5788</v>
      </c>
      <c r="C1400" s="89" t="s">
        <v>6168</v>
      </c>
      <c r="D1400" s="88">
        <v>45700</v>
      </c>
      <c r="E1400" s="36">
        <v>45700</v>
      </c>
      <c r="F1400" s="36">
        <v>46064</v>
      </c>
      <c r="G1400" s="64" t="s">
        <v>6</v>
      </c>
      <c r="H1400" s="72" t="s">
        <v>6223</v>
      </c>
      <c r="I1400" s="35" t="s">
        <v>3334</v>
      </c>
      <c r="J1400" s="72" t="s">
        <v>4704</v>
      </c>
      <c r="K1400" s="43" t="s">
        <v>3182</v>
      </c>
      <c r="L1400" s="85">
        <v>6500</v>
      </c>
      <c r="M1400" s="30">
        <v>0</v>
      </c>
      <c r="N1400" s="30"/>
      <c r="O1400" s="30">
        <f t="shared" si="26"/>
        <v>6500</v>
      </c>
      <c r="P1400" s="43"/>
    </row>
    <row r="1401" spans="2:16" x14ac:dyDescent="0.35">
      <c r="B1401" s="72" t="s">
        <v>5788</v>
      </c>
      <c r="C1401" s="89" t="s">
        <v>6169</v>
      </c>
      <c r="D1401" s="88">
        <v>45700</v>
      </c>
      <c r="E1401" s="36">
        <v>45700</v>
      </c>
      <c r="F1401" s="36">
        <v>46064</v>
      </c>
      <c r="G1401" s="64" t="s">
        <v>6</v>
      </c>
      <c r="H1401" s="72" t="s">
        <v>6271</v>
      </c>
      <c r="I1401" s="35" t="s">
        <v>3011</v>
      </c>
      <c r="J1401" s="72" t="s">
        <v>4704</v>
      </c>
      <c r="K1401" s="43" t="s">
        <v>3182</v>
      </c>
      <c r="L1401" s="85">
        <v>5000</v>
      </c>
      <c r="M1401" s="30">
        <v>0</v>
      </c>
      <c r="N1401" s="30"/>
      <c r="O1401" s="30">
        <f t="shared" si="26"/>
        <v>5000</v>
      </c>
      <c r="P1401" s="43"/>
    </row>
    <row r="1402" spans="2:16" ht="29" x14ac:dyDescent="0.35">
      <c r="B1402" s="72" t="s">
        <v>5687</v>
      </c>
      <c r="C1402" s="89" t="s">
        <v>6170</v>
      </c>
      <c r="D1402" s="88">
        <v>45702</v>
      </c>
      <c r="E1402" s="36">
        <v>45702</v>
      </c>
      <c r="F1402" s="36">
        <v>45838</v>
      </c>
      <c r="G1402" s="64" t="s">
        <v>6</v>
      </c>
      <c r="H1402" s="72" t="s">
        <v>4885</v>
      </c>
      <c r="I1402" s="35" t="s">
        <v>2498</v>
      </c>
      <c r="J1402" s="43" t="s">
        <v>5803</v>
      </c>
      <c r="K1402" s="43" t="s">
        <v>2573</v>
      </c>
      <c r="L1402" s="85">
        <v>1440</v>
      </c>
      <c r="M1402" s="30">
        <v>0</v>
      </c>
      <c r="N1402" s="30"/>
      <c r="O1402" s="30">
        <f t="shared" si="26"/>
        <v>1440</v>
      </c>
      <c r="P1402" s="43"/>
    </row>
    <row r="1403" spans="2:16" ht="29" x14ac:dyDescent="0.35">
      <c r="B1403" s="72" t="s">
        <v>5687</v>
      </c>
      <c r="C1403" s="89" t="s">
        <v>6171</v>
      </c>
      <c r="D1403" s="88">
        <v>45712</v>
      </c>
      <c r="E1403" s="36">
        <v>45712</v>
      </c>
      <c r="F1403" s="36">
        <v>45838</v>
      </c>
      <c r="G1403" s="64" t="s">
        <v>6</v>
      </c>
      <c r="H1403" s="72" t="s">
        <v>3605</v>
      </c>
      <c r="I1403" s="35" t="s">
        <v>2477</v>
      </c>
      <c r="J1403" s="43" t="s">
        <v>5803</v>
      </c>
      <c r="K1403" s="43" t="s">
        <v>2573</v>
      </c>
      <c r="L1403" s="85">
        <v>1440</v>
      </c>
      <c r="M1403" s="30">
        <v>0</v>
      </c>
      <c r="N1403" s="30"/>
      <c r="O1403" s="30">
        <f t="shared" si="26"/>
        <v>1440</v>
      </c>
      <c r="P1403" s="43"/>
    </row>
    <row r="1404" spans="2:16" ht="29" x14ac:dyDescent="0.35">
      <c r="B1404" s="72" t="s">
        <v>5687</v>
      </c>
      <c r="C1404" s="89" t="s">
        <v>6172</v>
      </c>
      <c r="D1404" s="88">
        <v>45712</v>
      </c>
      <c r="E1404" s="36">
        <v>45712</v>
      </c>
      <c r="F1404" s="36">
        <v>45838</v>
      </c>
      <c r="G1404" s="64" t="s">
        <v>6</v>
      </c>
      <c r="H1404" s="72" t="s">
        <v>926</v>
      </c>
      <c r="I1404" s="35" t="s">
        <v>2484</v>
      </c>
      <c r="J1404" s="43" t="s">
        <v>5803</v>
      </c>
      <c r="K1404" s="43" t="s">
        <v>2573</v>
      </c>
      <c r="L1404" s="85">
        <v>1440</v>
      </c>
      <c r="M1404" s="30">
        <v>0</v>
      </c>
      <c r="N1404" s="30"/>
      <c r="O1404" s="30">
        <f t="shared" si="26"/>
        <v>1440</v>
      </c>
      <c r="P1404" s="43"/>
    </row>
    <row r="1405" spans="2:16" ht="29" x14ac:dyDescent="0.35">
      <c r="B1405" s="72" t="s">
        <v>5687</v>
      </c>
      <c r="C1405" s="89" t="s">
        <v>6173</v>
      </c>
      <c r="D1405" s="88">
        <v>45712</v>
      </c>
      <c r="E1405" s="36">
        <v>45712</v>
      </c>
      <c r="F1405" s="36">
        <v>45838</v>
      </c>
      <c r="G1405" s="64" t="s">
        <v>6</v>
      </c>
      <c r="H1405" s="72" t="s">
        <v>5003</v>
      </c>
      <c r="I1405" s="35" t="s">
        <v>2476</v>
      </c>
      <c r="J1405" s="43" t="s">
        <v>5803</v>
      </c>
      <c r="K1405" s="43" t="s">
        <v>2573</v>
      </c>
      <c r="L1405" s="85">
        <v>1440</v>
      </c>
      <c r="M1405" s="30">
        <v>0</v>
      </c>
      <c r="N1405" s="30"/>
      <c r="O1405" s="30">
        <f t="shared" si="26"/>
        <v>1440</v>
      </c>
      <c r="P1405" s="43"/>
    </row>
    <row r="1406" spans="2:16" ht="29" x14ac:dyDescent="0.35">
      <c r="B1406" s="72" t="s">
        <v>5687</v>
      </c>
      <c r="C1406" s="89" t="s">
        <v>6174</v>
      </c>
      <c r="D1406" s="88">
        <v>45712</v>
      </c>
      <c r="E1406" s="36">
        <v>45712</v>
      </c>
      <c r="F1406" s="36">
        <v>45838</v>
      </c>
      <c r="G1406" s="64" t="s">
        <v>6</v>
      </c>
      <c r="H1406" s="72" t="s">
        <v>6224</v>
      </c>
      <c r="I1406" s="35" t="s">
        <v>2492</v>
      </c>
      <c r="J1406" s="43" t="s">
        <v>5803</v>
      </c>
      <c r="K1406" s="43" t="s">
        <v>2573</v>
      </c>
      <c r="L1406" s="85">
        <v>1440</v>
      </c>
      <c r="M1406" s="30">
        <v>0</v>
      </c>
      <c r="N1406" s="30"/>
      <c r="O1406" s="30">
        <f t="shared" si="26"/>
        <v>1440</v>
      </c>
      <c r="P1406" s="43"/>
    </row>
    <row r="1407" spans="2:16" ht="29" x14ac:dyDescent="0.35">
      <c r="B1407" s="72" t="s">
        <v>5687</v>
      </c>
      <c r="C1407" s="89" t="s">
        <v>6175</v>
      </c>
      <c r="D1407" s="88">
        <v>45712</v>
      </c>
      <c r="E1407" s="36">
        <v>45712</v>
      </c>
      <c r="F1407" s="36">
        <v>45838</v>
      </c>
      <c r="G1407" s="64" t="s">
        <v>6</v>
      </c>
      <c r="H1407" s="72" t="s">
        <v>4137</v>
      </c>
      <c r="I1407" s="35" t="s">
        <v>2480</v>
      </c>
      <c r="J1407" s="43" t="s">
        <v>5803</v>
      </c>
      <c r="K1407" s="43" t="s">
        <v>2573</v>
      </c>
      <c r="L1407" s="85">
        <v>2880</v>
      </c>
      <c r="M1407" s="30">
        <v>0</v>
      </c>
      <c r="N1407" s="30">
        <f>2880</f>
        <v>2880</v>
      </c>
      <c r="O1407" s="30">
        <f t="shared" si="26"/>
        <v>0</v>
      </c>
      <c r="P1407" s="43"/>
    </row>
    <row r="1408" spans="2:16" ht="29" x14ac:dyDescent="0.35">
      <c r="B1408" s="72" t="s">
        <v>5687</v>
      </c>
      <c r="C1408" s="89" t="s">
        <v>6176</v>
      </c>
      <c r="D1408" s="88">
        <v>45347</v>
      </c>
      <c r="E1408" s="36">
        <v>45347</v>
      </c>
      <c r="F1408" s="36">
        <v>45838</v>
      </c>
      <c r="G1408" s="64" t="s">
        <v>6</v>
      </c>
      <c r="H1408" s="72" t="s">
        <v>3601</v>
      </c>
      <c r="I1408" s="35" t="s">
        <v>2503</v>
      </c>
      <c r="J1408" s="43" t="s">
        <v>5803</v>
      </c>
      <c r="K1408" s="43" t="s">
        <v>2573</v>
      </c>
      <c r="L1408" s="85">
        <v>1440</v>
      </c>
      <c r="M1408" s="30">
        <v>0</v>
      </c>
      <c r="N1408" s="30"/>
      <c r="O1408" s="30">
        <f t="shared" si="26"/>
        <v>1440</v>
      </c>
      <c r="P1408" s="43"/>
    </row>
    <row r="1409" spans="2:16" ht="29" x14ac:dyDescent="0.35">
      <c r="B1409" s="72" t="s">
        <v>5687</v>
      </c>
      <c r="C1409" s="89" t="s">
        <v>6177</v>
      </c>
      <c r="D1409" s="88">
        <v>45347</v>
      </c>
      <c r="E1409" s="36">
        <v>45713</v>
      </c>
      <c r="F1409" s="36">
        <v>411080</v>
      </c>
      <c r="G1409" s="64" t="s">
        <v>6</v>
      </c>
      <c r="H1409" s="72" t="s">
        <v>4875</v>
      </c>
      <c r="I1409" s="35" t="s">
        <v>2480</v>
      </c>
      <c r="J1409" s="43" t="s">
        <v>5803</v>
      </c>
      <c r="K1409" s="43" t="s">
        <v>2573</v>
      </c>
      <c r="L1409" s="85">
        <v>1440</v>
      </c>
      <c r="M1409" s="30">
        <v>0</v>
      </c>
      <c r="N1409" s="30"/>
      <c r="O1409" s="30">
        <f t="shared" si="26"/>
        <v>1440</v>
      </c>
      <c r="P1409" s="43"/>
    </row>
    <row r="1410" spans="2:16" x14ac:dyDescent="0.35">
      <c r="B1410" s="72" t="s">
        <v>6088</v>
      </c>
      <c r="C1410" s="89" t="s">
        <v>6178</v>
      </c>
      <c r="D1410" s="88">
        <v>45347</v>
      </c>
      <c r="E1410" s="36">
        <v>45713</v>
      </c>
      <c r="F1410" s="36">
        <v>46203</v>
      </c>
      <c r="G1410" s="64" t="s">
        <v>6</v>
      </c>
      <c r="H1410" s="72" t="s">
        <v>6225</v>
      </c>
      <c r="I1410" s="35" t="s">
        <v>2479</v>
      </c>
      <c r="J1410" s="43" t="s">
        <v>5236</v>
      </c>
      <c r="K1410" s="43" t="s">
        <v>3181</v>
      </c>
      <c r="L1410" s="85">
        <v>20000</v>
      </c>
      <c r="M1410" s="30">
        <v>0</v>
      </c>
      <c r="N1410" s="30">
        <f>5000</f>
        <v>5000</v>
      </c>
      <c r="O1410" s="30">
        <f t="shared" si="26"/>
        <v>15000</v>
      </c>
      <c r="P1410" s="43"/>
    </row>
    <row r="1411" spans="2:16" x14ac:dyDescent="0.35">
      <c r="B1411" s="72" t="s">
        <v>5788</v>
      </c>
      <c r="C1411" s="89" t="s">
        <v>6179</v>
      </c>
      <c r="D1411" s="88">
        <v>45714</v>
      </c>
      <c r="E1411" s="36">
        <v>45714</v>
      </c>
      <c r="F1411" s="36">
        <v>46078</v>
      </c>
      <c r="G1411" s="64" t="s">
        <v>6</v>
      </c>
      <c r="H1411" s="72" t="s">
        <v>6226</v>
      </c>
      <c r="I1411" s="35" t="s">
        <v>2816</v>
      </c>
      <c r="J1411" s="72" t="s">
        <v>4704</v>
      </c>
      <c r="K1411" s="43" t="s">
        <v>3182</v>
      </c>
      <c r="L1411" s="85">
        <v>10000</v>
      </c>
      <c r="M1411" s="30">
        <v>0</v>
      </c>
      <c r="N1411" s="30"/>
      <c r="O1411" s="30">
        <f t="shared" si="26"/>
        <v>10000</v>
      </c>
      <c r="P1411" s="43"/>
    </row>
    <row r="1412" spans="2:16" x14ac:dyDescent="0.35">
      <c r="B1412" s="72" t="s">
        <v>5788</v>
      </c>
      <c r="C1412" s="89" t="s">
        <v>6180</v>
      </c>
      <c r="D1412" s="88">
        <v>45714</v>
      </c>
      <c r="E1412" s="36">
        <v>45714</v>
      </c>
      <c r="F1412" s="36">
        <v>46078</v>
      </c>
      <c r="G1412" s="64" t="s">
        <v>6</v>
      </c>
      <c r="H1412" s="72" t="s">
        <v>6227</v>
      </c>
      <c r="I1412" s="35" t="s">
        <v>2535</v>
      </c>
      <c r="J1412" s="72" t="s">
        <v>4704</v>
      </c>
      <c r="K1412" s="43" t="s">
        <v>3182</v>
      </c>
      <c r="L1412" s="85">
        <v>5000</v>
      </c>
      <c r="M1412" s="30">
        <v>0</v>
      </c>
      <c r="N1412" s="30"/>
      <c r="O1412" s="30">
        <f t="shared" si="26"/>
        <v>5000</v>
      </c>
      <c r="P1412" s="43"/>
    </row>
    <row r="1413" spans="2:16" x14ac:dyDescent="0.35">
      <c r="B1413" s="72" t="s">
        <v>5788</v>
      </c>
      <c r="C1413" s="89" t="s">
        <v>6181</v>
      </c>
      <c r="D1413" s="88">
        <v>45714</v>
      </c>
      <c r="E1413" s="36">
        <v>45714</v>
      </c>
      <c r="F1413" s="36">
        <v>46078</v>
      </c>
      <c r="G1413" s="64" t="s">
        <v>6</v>
      </c>
      <c r="H1413" s="72" t="s">
        <v>6228</v>
      </c>
      <c r="I1413" s="35" t="s">
        <v>2816</v>
      </c>
      <c r="J1413" s="72" t="s">
        <v>4704</v>
      </c>
      <c r="K1413" s="43" t="s">
        <v>3182</v>
      </c>
      <c r="L1413" s="85">
        <v>10000</v>
      </c>
      <c r="M1413" s="30">
        <v>0</v>
      </c>
      <c r="N1413" s="30"/>
      <c r="O1413" s="30">
        <f t="shared" si="26"/>
        <v>10000</v>
      </c>
      <c r="P1413" s="43"/>
    </row>
    <row r="1414" spans="2:16" x14ac:dyDescent="0.35">
      <c r="B1414" s="72" t="s">
        <v>5788</v>
      </c>
      <c r="C1414" s="89" t="s">
        <v>6182</v>
      </c>
      <c r="D1414" s="88">
        <v>45715</v>
      </c>
      <c r="E1414" s="36">
        <v>45715</v>
      </c>
      <c r="F1414" s="36">
        <v>46079</v>
      </c>
      <c r="G1414" s="64" t="s">
        <v>6</v>
      </c>
      <c r="H1414" s="72" t="s">
        <v>6229</v>
      </c>
      <c r="I1414" s="35" t="s">
        <v>2497</v>
      </c>
      <c r="J1414" s="72" t="s">
        <v>4704</v>
      </c>
      <c r="K1414" s="43" t="s">
        <v>3182</v>
      </c>
      <c r="L1414" s="85">
        <v>10000</v>
      </c>
      <c r="M1414" s="30">
        <v>0</v>
      </c>
      <c r="N1414" s="30">
        <v>1097.5</v>
      </c>
      <c r="O1414" s="30">
        <f t="shared" si="26"/>
        <v>8902.5</v>
      </c>
      <c r="P1414" s="43"/>
    </row>
    <row r="1415" spans="2:16" x14ac:dyDescent="0.35">
      <c r="B1415" s="72" t="s">
        <v>5788</v>
      </c>
      <c r="C1415" s="89" t="s">
        <v>6183</v>
      </c>
      <c r="D1415" s="88">
        <v>45715</v>
      </c>
      <c r="E1415" s="36">
        <v>45715</v>
      </c>
      <c r="F1415" s="36">
        <v>46079</v>
      </c>
      <c r="G1415" s="64" t="s">
        <v>6</v>
      </c>
      <c r="H1415" s="72" t="s">
        <v>6230</v>
      </c>
      <c r="I1415" s="35" t="s">
        <v>2476</v>
      </c>
      <c r="J1415" s="72" t="s">
        <v>4704</v>
      </c>
      <c r="K1415" s="43" t="s">
        <v>3182</v>
      </c>
      <c r="L1415" s="85">
        <v>5000</v>
      </c>
      <c r="M1415" s="30">
        <v>0</v>
      </c>
      <c r="N1415" s="30"/>
      <c r="O1415" s="30">
        <f t="shared" si="26"/>
        <v>5000</v>
      </c>
      <c r="P1415" s="43"/>
    </row>
    <row r="1416" spans="2:16" x14ac:dyDescent="0.35">
      <c r="B1416" s="72" t="s">
        <v>5788</v>
      </c>
      <c r="C1416" s="89" t="s">
        <v>6184</v>
      </c>
      <c r="D1416" s="88">
        <v>45715</v>
      </c>
      <c r="E1416" s="36">
        <v>45715</v>
      </c>
      <c r="F1416" s="36">
        <v>46079</v>
      </c>
      <c r="G1416" s="64" t="s">
        <v>6</v>
      </c>
      <c r="H1416" s="72" t="s">
        <v>6231</v>
      </c>
      <c r="I1416" s="35" t="s">
        <v>2944</v>
      </c>
      <c r="J1416" s="72" t="s">
        <v>4704</v>
      </c>
      <c r="K1416" s="43" t="s">
        <v>3182</v>
      </c>
      <c r="L1416" s="85">
        <v>4200</v>
      </c>
      <c r="M1416" s="30">
        <v>0</v>
      </c>
      <c r="N1416" s="30"/>
      <c r="O1416" s="30">
        <f t="shared" si="26"/>
        <v>4200</v>
      </c>
      <c r="P1416" s="43"/>
    </row>
    <row r="1417" spans="2:16" x14ac:dyDescent="0.35">
      <c r="B1417" s="72" t="s">
        <v>6088</v>
      </c>
      <c r="C1417" s="89" t="s">
        <v>6185</v>
      </c>
      <c r="D1417" s="88">
        <v>45715</v>
      </c>
      <c r="E1417" s="36">
        <v>45715</v>
      </c>
      <c r="F1417" s="36">
        <v>47118</v>
      </c>
      <c r="G1417" s="64" t="s">
        <v>6</v>
      </c>
      <c r="H1417" s="72" t="s">
        <v>6232</v>
      </c>
      <c r="I1417" s="35" t="s">
        <v>2804</v>
      </c>
      <c r="J1417" s="43" t="s">
        <v>5236</v>
      </c>
      <c r="K1417" s="43" t="s">
        <v>3181</v>
      </c>
      <c r="L1417" s="85">
        <v>40000</v>
      </c>
      <c r="M1417" s="30">
        <v>0</v>
      </c>
      <c r="N1417" s="30">
        <f>5000</f>
        <v>5000</v>
      </c>
      <c r="O1417" s="30">
        <f t="shared" si="26"/>
        <v>35000</v>
      </c>
      <c r="P1417" s="43"/>
    </row>
    <row r="1418" spans="2:16" x14ac:dyDescent="0.35">
      <c r="B1418" s="72" t="s">
        <v>6088</v>
      </c>
      <c r="C1418" s="89" t="s">
        <v>6186</v>
      </c>
      <c r="D1418" s="88">
        <v>45715</v>
      </c>
      <c r="E1418" s="36">
        <v>45715</v>
      </c>
      <c r="F1418" s="36">
        <v>46203</v>
      </c>
      <c r="G1418" s="64" t="s">
        <v>6</v>
      </c>
      <c r="H1418" s="72" t="s">
        <v>6233</v>
      </c>
      <c r="I1418" s="35" t="s">
        <v>2502</v>
      </c>
      <c r="J1418" s="43" t="s">
        <v>5236</v>
      </c>
      <c r="K1418" s="43" t="s">
        <v>3181</v>
      </c>
      <c r="L1418" s="85">
        <v>10000</v>
      </c>
      <c r="M1418" s="30">
        <v>0</v>
      </c>
      <c r="N1418" s="30">
        <f>5000</f>
        <v>5000</v>
      </c>
      <c r="O1418" s="30">
        <f t="shared" si="26"/>
        <v>5000</v>
      </c>
      <c r="P1418" s="43"/>
    </row>
    <row r="1419" spans="2:16" x14ac:dyDescent="0.35">
      <c r="B1419" s="72" t="s">
        <v>6088</v>
      </c>
      <c r="C1419" s="89" t="s">
        <v>6187</v>
      </c>
      <c r="D1419" s="88">
        <v>45715</v>
      </c>
      <c r="E1419" s="36">
        <v>45715</v>
      </c>
      <c r="F1419" s="36">
        <v>47118</v>
      </c>
      <c r="G1419" s="64" t="s">
        <v>6</v>
      </c>
      <c r="H1419" s="72" t="s">
        <v>6234</v>
      </c>
      <c r="I1419" s="35" t="s">
        <v>6272</v>
      </c>
      <c r="J1419" s="43" t="s">
        <v>5236</v>
      </c>
      <c r="K1419" s="43" t="s">
        <v>3181</v>
      </c>
      <c r="L1419" s="85">
        <v>35000</v>
      </c>
      <c r="M1419" s="30">
        <v>0</v>
      </c>
      <c r="N1419" s="30">
        <f>5000</f>
        <v>5000</v>
      </c>
      <c r="O1419" s="30">
        <f t="shared" si="26"/>
        <v>30000</v>
      </c>
      <c r="P1419" s="43"/>
    </row>
    <row r="1420" spans="2:16" x14ac:dyDescent="0.35">
      <c r="B1420" s="72" t="s">
        <v>6088</v>
      </c>
      <c r="C1420" s="89" t="s">
        <v>6188</v>
      </c>
      <c r="D1420" s="88">
        <v>45715</v>
      </c>
      <c r="E1420" s="36">
        <v>45715</v>
      </c>
      <c r="F1420" s="36">
        <v>46022</v>
      </c>
      <c r="G1420" s="64" t="s">
        <v>6</v>
      </c>
      <c r="H1420" s="72" t="s">
        <v>6235</v>
      </c>
      <c r="I1420" s="35" t="s">
        <v>2490</v>
      </c>
      <c r="J1420" s="43" t="s">
        <v>5236</v>
      </c>
      <c r="K1420" s="43" t="s">
        <v>3181</v>
      </c>
      <c r="L1420" s="85">
        <v>5000</v>
      </c>
      <c r="M1420" s="30">
        <v>0</v>
      </c>
      <c r="N1420" s="30">
        <f>5000</f>
        <v>5000</v>
      </c>
      <c r="O1420" s="30">
        <f t="shared" si="26"/>
        <v>0</v>
      </c>
      <c r="P1420" s="43"/>
    </row>
    <row r="1421" spans="2:16" x14ac:dyDescent="0.35">
      <c r="B1421" s="72" t="s">
        <v>6088</v>
      </c>
      <c r="C1421" s="89" t="s">
        <v>6189</v>
      </c>
      <c r="D1421" s="88">
        <v>45715</v>
      </c>
      <c r="E1421" s="36">
        <v>45715</v>
      </c>
      <c r="F1421" s="36">
        <v>46387</v>
      </c>
      <c r="G1421" s="64" t="s">
        <v>6</v>
      </c>
      <c r="H1421" s="72" t="s">
        <v>6236</v>
      </c>
      <c r="I1421" s="35" t="s">
        <v>2494</v>
      </c>
      <c r="J1421" s="43" t="s">
        <v>5236</v>
      </c>
      <c r="K1421" s="43" t="s">
        <v>3181</v>
      </c>
      <c r="L1421" s="85">
        <v>10000</v>
      </c>
      <c r="M1421" s="30">
        <v>0</v>
      </c>
      <c r="N1421" s="30">
        <f>5000</f>
        <v>5000</v>
      </c>
      <c r="O1421" s="30">
        <f t="shared" si="26"/>
        <v>5000</v>
      </c>
      <c r="P1421" s="43"/>
    </row>
    <row r="1422" spans="2:16" x14ac:dyDescent="0.35">
      <c r="B1422" s="72" t="s">
        <v>6088</v>
      </c>
      <c r="C1422" s="89" t="s">
        <v>6190</v>
      </c>
      <c r="D1422" s="88">
        <v>45715</v>
      </c>
      <c r="E1422" s="36">
        <v>45715</v>
      </c>
      <c r="F1422" s="36">
        <v>47118</v>
      </c>
      <c r="G1422" s="64" t="s">
        <v>6</v>
      </c>
      <c r="H1422" s="72" t="s">
        <v>6237</v>
      </c>
      <c r="I1422" s="35" t="s">
        <v>2804</v>
      </c>
      <c r="J1422" s="43" t="s">
        <v>5236</v>
      </c>
      <c r="K1422" s="43" t="s">
        <v>3181</v>
      </c>
      <c r="L1422" s="85">
        <v>35000</v>
      </c>
      <c r="M1422" s="30">
        <v>0</v>
      </c>
      <c r="N1422" s="30">
        <f>5000</f>
        <v>5000</v>
      </c>
      <c r="O1422" s="30">
        <f t="shared" si="26"/>
        <v>30000</v>
      </c>
      <c r="P1422" s="43"/>
    </row>
    <row r="1423" spans="2:16" x14ac:dyDescent="0.35">
      <c r="B1423" s="72" t="s">
        <v>6088</v>
      </c>
      <c r="C1423" s="89" t="s">
        <v>6191</v>
      </c>
      <c r="D1423" s="88">
        <v>45715</v>
      </c>
      <c r="E1423" s="36">
        <v>45715</v>
      </c>
      <c r="F1423" s="36">
        <v>46752</v>
      </c>
      <c r="G1423" s="64" t="s">
        <v>6</v>
      </c>
      <c r="H1423" s="72" t="s">
        <v>6238</v>
      </c>
      <c r="I1423" s="35" t="s">
        <v>2535</v>
      </c>
      <c r="J1423" s="43" t="s">
        <v>5236</v>
      </c>
      <c r="K1423" s="43" t="s">
        <v>3181</v>
      </c>
      <c r="L1423" s="85">
        <v>30000</v>
      </c>
      <c r="M1423" s="30">
        <v>0</v>
      </c>
      <c r="N1423" s="30">
        <v>5000</v>
      </c>
      <c r="O1423" s="30">
        <f t="shared" si="26"/>
        <v>25000</v>
      </c>
      <c r="P1423" s="43"/>
    </row>
    <row r="1424" spans="2:16" x14ac:dyDescent="0.35">
      <c r="B1424" s="72" t="s">
        <v>6088</v>
      </c>
      <c r="C1424" s="89" t="s">
        <v>6192</v>
      </c>
      <c r="D1424" s="88">
        <v>45715</v>
      </c>
      <c r="E1424" s="36">
        <v>45715</v>
      </c>
      <c r="F1424" s="36">
        <v>46203</v>
      </c>
      <c r="G1424" s="64" t="s">
        <v>6</v>
      </c>
      <c r="H1424" s="72" t="s">
        <v>6239</v>
      </c>
      <c r="I1424" s="35" t="s">
        <v>2490</v>
      </c>
      <c r="J1424" s="43" t="s">
        <v>5236</v>
      </c>
      <c r="K1424" s="43" t="s">
        <v>3181</v>
      </c>
      <c r="L1424" s="85">
        <v>25000</v>
      </c>
      <c r="M1424" s="30">
        <v>0</v>
      </c>
      <c r="N1424" s="30">
        <v>5000</v>
      </c>
      <c r="O1424" s="30">
        <f t="shared" si="26"/>
        <v>20000</v>
      </c>
      <c r="P1424" s="43"/>
    </row>
    <row r="1425" spans="2:16" x14ac:dyDescent="0.35">
      <c r="B1425" s="72" t="s">
        <v>6088</v>
      </c>
      <c r="C1425" s="89" t="s">
        <v>6193</v>
      </c>
      <c r="D1425" s="88">
        <v>45715</v>
      </c>
      <c r="E1425" s="36">
        <v>45715</v>
      </c>
      <c r="F1425" s="36">
        <v>46387</v>
      </c>
      <c r="G1425" s="64" t="s">
        <v>6</v>
      </c>
      <c r="H1425" s="72" t="s">
        <v>6240</v>
      </c>
      <c r="I1425" s="35" t="s">
        <v>2485</v>
      </c>
      <c r="J1425" s="43" t="s">
        <v>5236</v>
      </c>
      <c r="K1425" s="43" t="s">
        <v>3181</v>
      </c>
      <c r="L1425" s="85">
        <v>20000</v>
      </c>
      <c r="M1425" s="30">
        <v>0</v>
      </c>
      <c r="N1425" s="30">
        <f>5000</f>
        <v>5000</v>
      </c>
      <c r="O1425" s="30">
        <f t="shared" si="26"/>
        <v>15000</v>
      </c>
      <c r="P1425" s="43"/>
    </row>
    <row r="1426" spans="2:16" ht="29" x14ac:dyDescent="0.35">
      <c r="B1426" s="72" t="s">
        <v>5687</v>
      </c>
      <c r="C1426" s="89" t="s">
        <v>6194</v>
      </c>
      <c r="D1426" s="88">
        <v>45715</v>
      </c>
      <c r="E1426" s="36">
        <v>45715</v>
      </c>
      <c r="F1426" s="36">
        <v>45838</v>
      </c>
      <c r="G1426" s="64" t="s">
        <v>6</v>
      </c>
      <c r="H1426" s="72" t="s">
        <v>3608</v>
      </c>
      <c r="I1426" s="35" t="s">
        <v>2480</v>
      </c>
      <c r="J1426" s="43" t="s">
        <v>5803</v>
      </c>
      <c r="K1426" s="43" t="s">
        <v>2573</v>
      </c>
      <c r="L1426" s="85">
        <v>1440</v>
      </c>
      <c r="M1426" s="30">
        <v>0</v>
      </c>
      <c r="N1426" s="30"/>
      <c r="O1426" s="30">
        <f t="shared" si="26"/>
        <v>1440</v>
      </c>
      <c r="P1426" s="43"/>
    </row>
    <row r="1427" spans="2:16" ht="29" x14ac:dyDescent="0.35">
      <c r="B1427" s="72" t="s">
        <v>5687</v>
      </c>
      <c r="C1427" s="89" t="s">
        <v>6195</v>
      </c>
      <c r="D1427" s="88">
        <v>45715</v>
      </c>
      <c r="E1427" s="36">
        <v>45715</v>
      </c>
      <c r="F1427" s="36">
        <v>45838</v>
      </c>
      <c r="G1427" s="64" t="s">
        <v>6</v>
      </c>
      <c r="H1427" s="72" t="s">
        <v>6241</v>
      </c>
      <c r="I1427" s="35" t="s">
        <v>2494</v>
      </c>
      <c r="J1427" s="43" t="s">
        <v>5803</v>
      </c>
      <c r="K1427" s="43" t="s">
        <v>2573</v>
      </c>
      <c r="L1427" s="85">
        <v>1440</v>
      </c>
      <c r="M1427" s="30">
        <v>0</v>
      </c>
      <c r="N1427" s="30"/>
      <c r="O1427" s="30">
        <f t="shared" si="26"/>
        <v>1440</v>
      </c>
      <c r="P1427" s="43"/>
    </row>
    <row r="1428" spans="2:16" ht="29" x14ac:dyDescent="0.35">
      <c r="B1428" s="72" t="s">
        <v>5687</v>
      </c>
      <c r="C1428" s="89" t="s">
        <v>6196</v>
      </c>
      <c r="D1428" s="88">
        <v>45715</v>
      </c>
      <c r="E1428" s="36">
        <v>45715</v>
      </c>
      <c r="F1428" s="36">
        <v>45838</v>
      </c>
      <c r="G1428" s="64" t="s">
        <v>6</v>
      </c>
      <c r="H1428" s="72" t="s">
        <v>3682</v>
      </c>
      <c r="I1428" s="35" t="s">
        <v>2485</v>
      </c>
      <c r="J1428" s="43" t="s">
        <v>5803</v>
      </c>
      <c r="K1428" s="43" t="s">
        <v>2573</v>
      </c>
      <c r="L1428" s="85">
        <v>1440</v>
      </c>
      <c r="M1428" s="30">
        <v>0</v>
      </c>
      <c r="N1428" s="30"/>
      <c r="O1428" s="30">
        <f t="shared" si="26"/>
        <v>1440</v>
      </c>
      <c r="P1428" s="43"/>
    </row>
    <row r="1429" spans="2:16" ht="29" x14ac:dyDescent="0.35">
      <c r="B1429" s="72" t="s">
        <v>5687</v>
      </c>
      <c r="C1429" s="89" t="s">
        <v>6198</v>
      </c>
      <c r="D1429" s="88">
        <v>45715</v>
      </c>
      <c r="E1429" s="36">
        <v>45715</v>
      </c>
      <c r="F1429" s="36">
        <v>45838</v>
      </c>
      <c r="G1429" s="64" t="s">
        <v>6</v>
      </c>
      <c r="H1429" s="72" t="s">
        <v>33</v>
      </c>
      <c r="I1429" s="35" t="s">
        <v>3086</v>
      </c>
      <c r="J1429" s="43" t="s">
        <v>5803</v>
      </c>
      <c r="K1429" s="43" t="s">
        <v>2573</v>
      </c>
      <c r="L1429" s="85">
        <v>1440</v>
      </c>
      <c r="M1429" s="30">
        <v>0</v>
      </c>
      <c r="N1429" s="30"/>
      <c r="O1429" s="30">
        <f t="shared" si="26"/>
        <v>1440</v>
      </c>
      <c r="P1429" s="43"/>
    </row>
    <row r="1430" spans="2:16" ht="29" x14ac:dyDescent="0.35">
      <c r="B1430" s="72" t="s">
        <v>5687</v>
      </c>
      <c r="C1430" s="89" t="s">
        <v>6199</v>
      </c>
      <c r="D1430" s="88">
        <v>45715</v>
      </c>
      <c r="E1430" s="36">
        <v>45715</v>
      </c>
      <c r="F1430" s="36">
        <v>45838</v>
      </c>
      <c r="G1430" s="64" t="s">
        <v>6</v>
      </c>
      <c r="H1430" s="72" t="s">
        <v>23</v>
      </c>
      <c r="I1430" s="35" t="s">
        <v>2522</v>
      </c>
      <c r="J1430" s="43" t="s">
        <v>5803</v>
      </c>
      <c r="K1430" s="43" t="s">
        <v>2573</v>
      </c>
      <c r="L1430" s="85">
        <v>1440</v>
      </c>
      <c r="M1430" s="30">
        <v>0</v>
      </c>
      <c r="N1430" s="30"/>
      <c r="O1430" s="30">
        <f t="shared" si="26"/>
        <v>1440</v>
      </c>
      <c r="P1430" s="43"/>
    </row>
    <row r="1431" spans="2:16" ht="43.5" x14ac:dyDescent="0.35">
      <c r="B1431" s="35" t="s">
        <v>6244</v>
      </c>
      <c r="C1431" s="80" t="s">
        <v>6245</v>
      </c>
      <c r="D1431" s="36">
        <v>45576</v>
      </c>
      <c r="E1431" s="36">
        <v>45576</v>
      </c>
      <c r="F1431" s="36">
        <v>45657</v>
      </c>
      <c r="G1431" s="64" t="s">
        <v>5683</v>
      </c>
      <c r="H1431" s="43" t="s">
        <v>3276</v>
      </c>
      <c r="I1431" s="35" t="s">
        <v>2480</v>
      </c>
      <c r="J1431" s="43" t="s">
        <v>2530</v>
      </c>
      <c r="K1431" s="43" t="s">
        <v>3181</v>
      </c>
      <c r="L1431" s="49">
        <v>33600</v>
      </c>
      <c r="M1431" s="49">
        <v>33600</v>
      </c>
      <c r="N1431" s="49">
        <v>0</v>
      </c>
      <c r="O1431" s="30">
        <v>0</v>
      </c>
      <c r="P1431" s="27" t="s">
        <v>6246</v>
      </c>
    </row>
    <row r="1432" spans="2:16" x14ac:dyDescent="0.35">
      <c r="B1432" s="35" t="s">
        <v>5648</v>
      </c>
      <c r="C1432" s="80" t="s">
        <v>6252</v>
      </c>
      <c r="D1432" s="36">
        <v>45558</v>
      </c>
      <c r="E1432" s="36">
        <v>45558</v>
      </c>
      <c r="F1432" s="36">
        <v>45657</v>
      </c>
      <c r="G1432" s="64" t="s">
        <v>6</v>
      </c>
      <c r="H1432" s="35" t="s">
        <v>4868</v>
      </c>
      <c r="I1432" s="35" t="s">
        <v>2480</v>
      </c>
      <c r="J1432" s="43" t="s">
        <v>4708</v>
      </c>
      <c r="K1432" s="43" t="s">
        <v>3412</v>
      </c>
      <c r="L1432" s="30">
        <v>25000</v>
      </c>
      <c r="M1432" s="30">
        <v>0</v>
      </c>
      <c r="N1432" s="30">
        <f>18374.36+6625.64</f>
        <v>25000</v>
      </c>
      <c r="O1432" s="30">
        <f t="shared" ref="O1432:O1435" si="27">L1432-M1432-N1432</f>
        <v>0</v>
      </c>
      <c r="P1432" s="43" t="s">
        <v>2977</v>
      </c>
    </row>
    <row r="1433" spans="2:16" x14ac:dyDescent="0.35">
      <c r="B1433" s="35" t="s">
        <v>5687</v>
      </c>
      <c r="C1433" s="94" t="s">
        <v>6254</v>
      </c>
      <c r="D1433" s="36">
        <v>45534</v>
      </c>
      <c r="E1433" s="36">
        <v>45534</v>
      </c>
      <c r="F1433" s="36">
        <v>45657</v>
      </c>
      <c r="G1433" s="64" t="s">
        <v>6</v>
      </c>
      <c r="H1433" s="35" t="s">
        <v>4919</v>
      </c>
      <c r="I1433" s="35" t="s">
        <v>2473</v>
      </c>
      <c r="J1433" s="43" t="s">
        <v>6253</v>
      </c>
      <c r="K1433" s="43" t="s">
        <v>2573</v>
      </c>
      <c r="L1433" s="30">
        <v>1440</v>
      </c>
      <c r="M1433" s="30">
        <v>0</v>
      </c>
      <c r="N1433" s="30">
        <v>1440</v>
      </c>
      <c r="O1433" s="30">
        <f t="shared" si="27"/>
        <v>0</v>
      </c>
      <c r="P1433" s="43" t="s">
        <v>2874</v>
      </c>
    </row>
    <row r="1434" spans="2:16" x14ac:dyDescent="0.35">
      <c r="B1434" s="80" t="s">
        <v>5710</v>
      </c>
      <c r="C1434" s="80" t="s">
        <v>6255</v>
      </c>
      <c r="D1434" s="36">
        <v>45646</v>
      </c>
      <c r="E1434" s="36">
        <v>45646</v>
      </c>
      <c r="F1434" s="36">
        <v>45838</v>
      </c>
      <c r="G1434" s="64" t="s">
        <v>6</v>
      </c>
      <c r="H1434" s="35" t="s">
        <v>6256</v>
      </c>
      <c r="I1434" s="35" t="s">
        <v>2917</v>
      </c>
      <c r="J1434" s="43" t="s">
        <v>6257</v>
      </c>
      <c r="K1434" s="43" t="s">
        <v>5558</v>
      </c>
      <c r="L1434" s="30">
        <v>10000</v>
      </c>
      <c r="M1434" s="30">
        <v>0</v>
      </c>
      <c r="N1434" s="30">
        <f>5000</f>
        <v>5000</v>
      </c>
      <c r="O1434" s="30">
        <f t="shared" si="27"/>
        <v>5000</v>
      </c>
      <c r="P1434" s="43" t="s">
        <v>6258</v>
      </c>
    </row>
    <row r="1435" spans="2:16" ht="29" x14ac:dyDescent="0.35">
      <c r="B1435" s="35" t="s">
        <v>5831</v>
      </c>
      <c r="C1435" s="80" t="s">
        <v>6259</v>
      </c>
      <c r="D1435" s="36">
        <v>45609</v>
      </c>
      <c r="E1435" s="36">
        <v>45609</v>
      </c>
      <c r="F1435" s="36">
        <v>46703</v>
      </c>
      <c r="G1435" s="64" t="s">
        <v>6</v>
      </c>
      <c r="H1435" s="43" t="s">
        <v>6260</v>
      </c>
      <c r="I1435" s="35" t="s">
        <v>2483</v>
      </c>
      <c r="J1435" s="43" t="s">
        <v>5803</v>
      </c>
      <c r="K1435" s="43" t="s">
        <v>2573</v>
      </c>
      <c r="L1435" s="30">
        <v>1000</v>
      </c>
      <c r="M1435" s="30">
        <v>0</v>
      </c>
      <c r="N1435" s="30">
        <v>1000</v>
      </c>
      <c r="O1435" s="30">
        <f t="shared" si="27"/>
        <v>0</v>
      </c>
      <c r="P1435" s="43"/>
    </row>
    <row r="1436" spans="2:16" ht="29" x14ac:dyDescent="0.35">
      <c r="B1436" s="35" t="s">
        <v>5831</v>
      </c>
      <c r="C1436" s="80" t="s">
        <v>6262</v>
      </c>
      <c r="D1436" s="36">
        <v>45614</v>
      </c>
      <c r="E1436" s="36">
        <v>45614</v>
      </c>
      <c r="F1436" s="36">
        <v>46708</v>
      </c>
      <c r="G1436" s="64" t="s">
        <v>5683</v>
      </c>
      <c r="H1436" s="43" t="s">
        <v>6263</v>
      </c>
      <c r="I1436" s="35" t="s">
        <v>2484</v>
      </c>
      <c r="J1436" s="43" t="s">
        <v>5803</v>
      </c>
      <c r="K1436" s="43" t="s">
        <v>2573</v>
      </c>
      <c r="L1436" s="30">
        <v>1000</v>
      </c>
      <c r="M1436" s="30">
        <v>0.56999999999999995</v>
      </c>
      <c r="N1436" s="30">
        <f>999.43</f>
        <v>999.43</v>
      </c>
      <c r="O1436" s="30">
        <f t="shared" ref="O1436:O1437" si="28">L1436-M1436-N1436</f>
        <v>0</v>
      </c>
      <c r="P1436" s="43" t="s">
        <v>6514</v>
      </c>
    </row>
    <row r="1437" spans="2:16" ht="29" x14ac:dyDescent="0.35">
      <c r="B1437" s="35" t="s">
        <v>5687</v>
      </c>
      <c r="C1437" s="94" t="s">
        <v>6264</v>
      </c>
      <c r="D1437" s="36">
        <v>45534</v>
      </c>
      <c r="E1437" s="36">
        <v>45534</v>
      </c>
      <c r="F1437" s="36">
        <v>45657</v>
      </c>
      <c r="G1437" s="64" t="s">
        <v>6</v>
      </c>
      <c r="H1437" s="35" t="s">
        <v>6265</v>
      </c>
      <c r="I1437" s="35" t="s">
        <v>2804</v>
      </c>
      <c r="J1437" s="43" t="s">
        <v>6266</v>
      </c>
      <c r="K1437" s="43" t="s">
        <v>2573</v>
      </c>
      <c r="L1437" s="30">
        <v>1440</v>
      </c>
      <c r="M1437" s="30">
        <v>0</v>
      </c>
      <c r="N1437" s="30">
        <v>1440</v>
      </c>
      <c r="O1437" s="30">
        <f t="shared" si="28"/>
        <v>0</v>
      </c>
      <c r="P1437" s="43" t="s">
        <v>2874</v>
      </c>
    </row>
    <row r="1438" spans="2:16" x14ac:dyDescent="0.35">
      <c r="B1438" s="35" t="s">
        <v>6088</v>
      </c>
      <c r="C1438" s="80" t="s">
        <v>6268</v>
      </c>
      <c r="D1438" s="36">
        <v>45653</v>
      </c>
      <c r="E1438" s="36" t="s">
        <v>6269</v>
      </c>
      <c r="F1438" s="36">
        <v>46387</v>
      </c>
      <c r="G1438" s="64" t="s">
        <v>6</v>
      </c>
      <c r="H1438" s="43" t="s">
        <v>6270</v>
      </c>
      <c r="I1438" s="35" t="s">
        <v>2480</v>
      </c>
      <c r="J1438" s="43" t="s">
        <v>5236</v>
      </c>
      <c r="K1438" s="43" t="s">
        <v>3181</v>
      </c>
      <c r="L1438" s="30">
        <v>20000</v>
      </c>
      <c r="M1438" s="30">
        <v>0</v>
      </c>
      <c r="N1438" s="30">
        <f>5000</f>
        <v>5000</v>
      </c>
      <c r="O1438" s="30">
        <f t="shared" ref="O1438:O1471" si="29">L1438-M1438-N1438</f>
        <v>15000</v>
      </c>
      <c r="P1438" s="44" t="s">
        <v>2874</v>
      </c>
    </row>
    <row r="1439" spans="2:16" ht="29" x14ac:dyDescent="0.35">
      <c r="B1439" s="87" t="s">
        <v>5687</v>
      </c>
      <c r="C1439" s="95" t="s">
        <v>6197</v>
      </c>
      <c r="D1439" s="96">
        <v>45715</v>
      </c>
      <c r="E1439" s="36">
        <v>45715</v>
      </c>
      <c r="F1439" s="36">
        <v>45838</v>
      </c>
      <c r="G1439" s="64" t="s">
        <v>6</v>
      </c>
      <c r="H1439" s="87" t="s">
        <v>6341</v>
      </c>
      <c r="I1439" s="87" t="s">
        <v>2480</v>
      </c>
      <c r="J1439" s="87" t="s">
        <v>5803</v>
      </c>
      <c r="K1439" s="43" t="s">
        <v>2573</v>
      </c>
      <c r="L1439" s="86">
        <v>1440</v>
      </c>
      <c r="M1439" s="30">
        <v>0</v>
      </c>
      <c r="N1439" s="30">
        <v>1440</v>
      </c>
      <c r="O1439" s="30">
        <f t="shared" si="29"/>
        <v>0</v>
      </c>
      <c r="P1439" s="43"/>
    </row>
    <row r="1440" spans="2:16" ht="29" x14ac:dyDescent="0.35">
      <c r="B1440" s="83" t="s">
        <v>6274</v>
      </c>
      <c r="C1440" s="90" t="s">
        <v>6277</v>
      </c>
      <c r="D1440" s="91">
        <v>45716</v>
      </c>
      <c r="E1440" s="36">
        <v>45716</v>
      </c>
      <c r="F1440" s="36">
        <v>45930</v>
      </c>
      <c r="G1440" s="64" t="s">
        <v>6</v>
      </c>
      <c r="H1440" s="83" t="s">
        <v>5337</v>
      </c>
      <c r="I1440" s="83" t="s">
        <v>2494</v>
      </c>
      <c r="J1440" s="83" t="s">
        <v>6034</v>
      </c>
      <c r="K1440" s="43" t="s">
        <v>2581</v>
      </c>
      <c r="L1440" s="85">
        <v>150000</v>
      </c>
      <c r="M1440" s="30">
        <v>0</v>
      </c>
      <c r="N1440" s="30">
        <f>148794</f>
        <v>148794</v>
      </c>
      <c r="O1440" s="30">
        <f t="shared" si="29"/>
        <v>1206</v>
      </c>
      <c r="P1440" s="44" t="s">
        <v>2874</v>
      </c>
    </row>
    <row r="1441" spans="2:16" x14ac:dyDescent="0.35">
      <c r="B1441" s="83" t="s">
        <v>5835</v>
      </c>
      <c r="C1441" s="90" t="s">
        <v>6278</v>
      </c>
      <c r="D1441" s="36">
        <v>45720</v>
      </c>
      <c r="E1441" s="36">
        <v>45720</v>
      </c>
      <c r="F1441" s="36">
        <v>46318</v>
      </c>
      <c r="G1441" s="64" t="s">
        <v>6</v>
      </c>
      <c r="H1441" s="83" t="s">
        <v>1448</v>
      </c>
      <c r="I1441" s="83" t="s">
        <v>2804</v>
      </c>
      <c r="J1441" s="83" t="s">
        <v>6242</v>
      </c>
      <c r="K1441" s="75" t="s">
        <v>2585</v>
      </c>
      <c r="L1441" s="85">
        <v>5352</v>
      </c>
      <c r="M1441" s="30">
        <v>0</v>
      </c>
      <c r="N1441" s="30"/>
      <c r="O1441" s="30">
        <f t="shared" si="29"/>
        <v>5352</v>
      </c>
      <c r="P1441" s="43"/>
    </row>
    <row r="1442" spans="2:16" ht="29" x14ac:dyDescent="0.35">
      <c r="B1442" s="83" t="s">
        <v>5687</v>
      </c>
      <c r="C1442" s="90" t="s">
        <v>6279</v>
      </c>
      <c r="D1442" s="36">
        <v>45723</v>
      </c>
      <c r="E1442" s="36">
        <v>45722</v>
      </c>
      <c r="F1442" s="36">
        <v>45838</v>
      </c>
      <c r="G1442" s="64" t="s">
        <v>6</v>
      </c>
      <c r="H1442" s="83" t="s">
        <v>956</v>
      </c>
      <c r="I1442" s="83" t="s">
        <v>6306</v>
      </c>
      <c r="J1442" s="83" t="s">
        <v>5803</v>
      </c>
      <c r="K1442" s="43" t="s">
        <v>2573</v>
      </c>
      <c r="L1442" s="85">
        <v>4100</v>
      </c>
      <c r="M1442" s="30">
        <v>0</v>
      </c>
      <c r="N1442" s="30"/>
      <c r="O1442" s="30">
        <f t="shared" si="29"/>
        <v>4100</v>
      </c>
      <c r="P1442" s="43"/>
    </row>
    <row r="1443" spans="2:16" ht="29" x14ac:dyDescent="0.35">
      <c r="B1443" s="83" t="s">
        <v>5687</v>
      </c>
      <c r="C1443" s="90" t="s">
        <v>6280</v>
      </c>
      <c r="D1443" s="36">
        <v>45723</v>
      </c>
      <c r="E1443" s="36">
        <v>45723</v>
      </c>
      <c r="F1443" s="36">
        <v>45838</v>
      </c>
      <c r="G1443" s="64" t="s">
        <v>6</v>
      </c>
      <c r="H1443" s="87" t="s">
        <v>6332</v>
      </c>
      <c r="I1443" s="83" t="s">
        <v>2484</v>
      </c>
      <c r="J1443" s="83" t="s">
        <v>5803</v>
      </c>
      <c r="K1443" s="43" t="s">
        <v>2573</v>
      </c>
      <c r="L1443" s="85">
        <v>1440</v>
      </c>
      <c r="M1443" s="30">
        <v>0</v>
      </c>
      <c r="N1443" s="30"/>
      <c r="O1443" s="30">
        <f t="shared" si="29"/>
        <v>1440</v>
      </c>
      <c r="P1443" s="43"/>
    </row>
    <row r="1444" spans="2:16" ht="29" x14ac:dyDescent="0.35">
      <c r="B1444" s="83" t="s">
        <v>5687</v>
      </c>
      <c r="C1444" s="90" t="s">
        <v>6281</v>
      </c>
      <c r="D1444" s="36">
        <v>45723</v>
      </c>
      <c r="E1444" s="36">
        <v>45723</v>
      </c>
      <c r="F1444" s="36">
        <v>45838</v>
      </c>
      <c r="G1444" s="64" t="s">
        <v>6</v>
      </c>
      <c r="H1444" s="83" t="s">
        <v>5763</v>
      </c>
      <c r="I1444" s="83" t="s">
        <v>2503</v>
      </c>
      <c r="J1444" s="83" t="s">
        <v>5803</v>
      </c>
      <c r="K1444" s="43" t="s">
        <v>2573</v>
      </c>
      <c r="L1444" s="85">
        <v>1440</v>
      </c>
      <c r="M1444" s="30">
        <v>0</v>
      </c>
      <c r="N1444" s="30"/>
      <c r="O1444" s="30">
        <f t="shared" si="29"/>
        <v>1440</v>
      </c>
      <c r="P1444" s="43"/>
    </row>
    <row r="1445" spans="2:16" ht="29" x14ac:dyDescent="0.35">
      <c r="B1445" s="83" t="s">
        <v>5687</v>
      </c>
      <c r="C1445" s="90" t="s">
        <v>6282</v>
      </c>
      <c r="D1445" s="36">
        <v>45723</v>
      </c>
      <c r="E1445" s="36">
        <v>45723</v>
      </c>
      <c r="F1445" s="36">
        <v>45838</v>
      </c>
      <c r="G1445" s="64" t="s">
        <v>6</v>
      </c>
      <c r="H1445" s="83" t="s">
        <v>5297</v>
      </c>
      <c r="I1445" s="83" t="s">
        <v>2501</v>
      </c>
      <c r="J1445" s="83" t="s">
        <v>5803</v>
      </c>
      <c r="K1445" s="43" t="s">
        <v>2573</v>
      </c>
      <c r="L1445" s="85">
        <v>1160</v>
      </c>
      <c r="M1445" s="30">
        <v>0</v>
      </c>
      <c r="N1445" s="30"/>
      <c r="O1445" s="30">
        <f t="shared" si="29"/>
        <v>1160</v>
      </c>
      <c r="P1445" s="43"/>
    </row>
    <row r="1446" spans="2:16" ht="29" x14ac:dyDescent="0.35">
      <c r="B1446" s="83" t="s">
        <v>5788</v>
      </c>
      <c r="C1446" s="90" t="s">
        <v>6283</v>
      </c>
      <c r="D1446" s="36">
        <v>45723</v>
      </c>
      <c r="E1446" s="36">
        <v>45723</v>
      </c>
      <c r="F1446" s="36">
        <v>46087</v>
      </c>
      <c r="G1446" s="64" t="s">
        <v>6</v>
      </c>
      <c r="H1446" s="83" t="s">
        <v>6307</v>
      </c>
      <c r="I1446" s="83" t="s">
        <v>2485</v>
      </c>
      <c r="J1446" s="83" t="s">
        <v>4704</v>
      </c>
      <c r="K1446" s="43" t="s">
        <v>3182</v>
      </c>
      <c r="L1446" s="85">
        <v>10000</v>
      </c>
      <c r="M1446" s="30">
        <v>0</v>
      </c>
      <c r="N1446" s="30"/>
      <c r="O1446" s="30">
        <f t="shared" si="29"/>
        <v>10000</v>
      </c>
      <c r="P1446" s="43"/>
    </row>
    <row r="1447" spans="2:16" x14ac:dyDescent="0.35">
      <c r="B1447" s="83" t="s">
        <v>5788</v>
      </c>
      <c r="C1447" s="90" t="s">
        <v>6284</v>
      </c>
      <c r="D1447" s="36">
        <v>45723</v>
      </c>
      <c r="E1447" s="36">
        <v>45723</v>
      </c>
      <c r="F1447" s="36">
        <v>46176</v>
      </c>
      <c r="G1447" s="64" t="s">
        <v>6</v>
      </c>
      <c r="H1447" s="83" t="s">
        <v>6308</v>
      </c>
      <c r="I1447" s="83" t="s">
        <v>5948</v>
      </c>
      <c r="J1447" s="83" t="s">
        <v>4704</v>
      </c>
      <c r="K1447" s="43" t="s">
        <v>3182</v>
      </c>
      <c r="L1447" s="85">
        <v>10000</v>
      </c>
      <c r="M1447" s="30">
        <v>0</v>
      </c>
      <c r="N1447" s="30"/>
      <c r="O1447" s="30">
        <f t="shared" si="29"/>
        <v>10000</v>
      </c>
      <c r="P1447" s="43"/>
    </row>
    <row r="1448" spans="2:16" x14ac:dyDescent="0.35">
      <c r="B1448" s="83" t="s">
        <v>5788</v>
      </c>
      <c r="C1448" s="90" t="s">
        <v>6285</v>
      </c>
      <c r="D1448" s="36">
        <v>45723</v>
      </c>
      <c r="E1448" s="36">
        <v>45723</v>
      </c>
      <c r="F1448" s="36">
        <v>46087</v>
      </c>
      <c r="G1448" s="64" t="s">
        <v>6</v>
      </c>
      <c r="H1448" s="83" t="s">
        <v>6309</v>
      </c>
      <c r="I1448" s="83" t="s">
        <v>2480</v>
      </c>
      <c r="J1448" s="83" t="s">
        <v>4704</v>
      </c>
      <c r="K1448" s="43" t="s">
        <v>3182</v>
      </c>
      <c r="L1448" s="85">
        <v>5000</v>
      </c>
      <c r="M1448" s="30">
        <v>0</v>
      </c>
      <c r="N1448" s="30"/>
      <c r="O1448" s="30">
        <f t="shared" si="29"/>
        <v>5000</v>
      </c>
      <c r="P1448" s="43"/>
    </row>
    <row r="1449" spans="2:16" x14ac:dyDescent="0.35">
      <c r="B1449" s="83" t="s">
        <v>5788</v>
      </c>
      <c r="C1449" s="90" t="s">
        <v>6286</v>
      </c>
      <c r="D1449" s="36">
        <v>45723</v>
      </c>
      <c r="E1449" s="36">
        <v>45723</v>
      </c>
      <c r="F1449" s="36">
        <v>46271</v>
      </c>
      <c r="G1449" s="64" t="s">
        <v>6</v>
      </c>
      <c r="H1449" s="83" t="s">
        <v>6310</v>
      </c>
      <c r="I1449" s="83" t="s">
        <v>2480</v>
      </c>
      <c r="J1449" s="83" t="s">
        <v>4704</v>
      </c>
      <c r="K1449" s="43" t="s">
        <v>3182</v>
      </c>
      <c r="L1449" s="85">
        <v>5000</v>
      </c>
      <c r="M1449" s="30">
        <v>0</v>
      </c>
      <c r="N1449" s="30"/>
      <c r="O1449" s="30">
        <f t="shared" si="29"/>
        <v>5000</v>
      </c>
      <c r="P1449" s="43"/>
    </row>
    <row r="1450" spans="2:16" x14ac:dyDescent="0.35">
      <c r="B1450" s="83" t="s">
        <v>5788</v>
      </c>
      <c r="C1450" s="90" t="s">
        <v>6287</v>
      </c>
      <c r="D1450" s="36">
        <v>45723</v>
      </c>
      <c r="E1450" s="36">
        <v>45723</v>
      </c>
      <c r="F1450" s="36">
        <v>46087</v>
      </c>
      <c r="G1450" s="64" t="s">
        <v>6</v>
      </c>
      <c r="H1450" s="83" t="s">
        <v>6311</v>
      </c>
      <c r="I1450" s="83" t="s">
        <v>3177</v>
      </c>
      <c r="J1450" s="83" t="s">
        <v>4704</v>
      </c>
      <c r="K1450" s="43" t="s">
        <v>3182</v>
      </c>
      <c r="L1450" s="85">
        <v>5000</v>
      </c>
      <c r="M1450" s="30">
        <v>0</v>
      </c>
      <c r="N1450" s="30"/>
      <c r="O1450" s="30">
        <f t="shared" si="29"/>
        <v>5000</v>
      </c>
      <c r="P1450" s="43"/>
    </row>
    <row r="1451" spans="2:16" x14ac:dyDescent="0.35">
      <c r="B1451" s="83" t="s">
        <v>6275</v>
      </c>
      <c r="C1451" s="90" t="s">
        <v>6288</v>
      </c>
      <c r="D1451" s="36">
        <v>45723</v>
      </c>
      <c r="E1451" s="36">
        <v>45723</v>
      </c>
      <c r="F1451" s="36">
        <v>47548</v>
      </c>
      <c r="G1451" s="64" t="s">
        <v>6</v>
      </c>
      <c r="H1451" s="83" t="s">
        <v>6312</v>
      </c>
      <c r="I1451" s="83" t="s">
        <v>2492</v>
      </c>
      <c r="J1451" s="83" t="s">
        <v>5766</v>
      </c>
      <c r="K1451" s="43" t="s">
        <v>5847</v>
      </c>
      <c r="L1451" s="85">
        <v>150000</v>
      </c>
      <c r="M1451" s="30">
        <v>0</v>
      </c>
      <c r="N1451" s="30"/>
      <c r="O1451" s="30">
        <f t="shared" si="29"/>
        <v>150000</v>
      </c>
      <c r="P1451" s="43" t="s">
        <v>6340</v>
      </c>
    </row>
    <row r="1452" spans="2:16" x14ac:dyDescent="0.35">
      <c r="B1452" s="83" t="s">
        <v>5788</v>
      </c>
      <c r="C1452" s="90" t="s">
        <v>6289</v>
      </c>
      <c r="D1452" s="36">
        <v>45723</v>
      </c>
      <c r="E1452" s="36">
        <v>45723</v>
      </c>
      <c r="F1452" s="36">
        <v>46087</v>
      </c>
      <c r="G1452" s="64" t="s">
        <v>6</v>
      </c>
      <c r="H1452" s="83" t="s">
        <v>6313</v>
      </c>
      <c r="I1452" s="83" t="s">
        <v>2480</v>
      </c>
      <c r="J1452" s="83" t="s">
        <v>4704</v>
      </c>
      <c r="K1452" s="43" t="s">
        <v>3182</v>
      </c>
      <c r="L1452" s="85">
        <v>10000</v>
      </c>
      <c r="M1452" s="30">
        <v>0</v>
      </c>
      <c r="N1452" s="30">
        <f>1000</f>
        <v>1000</v>
      </c>
      <c r="O1452" s="30">
        <f t="shared" si="29"/>
        <v>9000</v>
      </c>
      <c r="P1452" s="43"/>
    </row>
    <row r="1453" spans="2:16" x14ac:dyDescent="0.35">
      <c r="B1453" s="83" t="s">
        <v>5788</v>
      </c>
      <c r="C1453" s="90" t="s">
        <v>6290</v>
      </c>
      <c r="D1453" s="36">
        <v>45724</v>
      </c>
      <c r="E1453" s="36">
        <v>45724</v>
      </c>
      <c r="F1453" s="36">
        <v>46088</v>
      </c>
      <c r="G1453" s="64" t="s">
        <v>6</v>
      </c>
      <c r="H1453" s="83" t="s">
        <v>6314</v>
      </c>
      <c r="I1453" s="83" t="s">
        <v>2494</v>
      </c>
      <c r="J1453" s="83" t="s">
        <v>4704</v>
      </c>
      <c r="K1453" s="43" t="s">
        <v>3182</v>
      </c>
      <c r="L1453" s="85">
        <v>10000</v>
      </c>
      <c r="M1453" s="30">
        <v>0</v>
      </c>
      <c r="N1453" s="30"/>
      <c r="O1453" s="30">
        <f t="shared" si="29"/>
        <v>10000</v>
      </c>
      <c r="P1453" s="43"/>
    </row>
    <row r="1454" spans="2:16" x14ac:dyDescent="0.35">
      <c r="B1454" s="83" t="s">
        <v>5788</v>
      </c>
      <c r="C1454" s="90" t="s">
        <v>6291</v>
      </c>
      <c r="D1454" s="36">
        <v>45724</v>
      </c>
      <c r="E1454" s="36">
        <v>45724</v>
      </c>
      <c r="F1454" s="36">
        <v>46088</v>
      </c>
      <c r="G1454" s="64" t="s">
        <v>6</v>
      </c>
      <c r="H1454" s="83" t="s">
        <v>6315</v>
      </c>
      <c r="I1454" s="83" t="s">
        <v>2480</v>
      </c>
      <c r="J1454" s="83" t="s">
        <v>4704</v>
      </c>
      <c r="K1454" s="43" t="s">
        <v>3182</v>
      </c>
      <c r="L1454" s="85">
        <v>10000</v>
      </c>
      <c r="M1454" s="30">
        <v>0</v>
      </c>
      <c r="N1454" s="30"/>
      <c r="O1454" s="30">
        <f t="shared" si="29"/>
        <v>10000</v>
      </c>
      <c r="P1454" s="43"/>
    </row>
    <row r="1455" spans="2:16" x14ac:dyDescent="0.35">
      <c r="B1455" s="83" t="s">
        <v>6088</v>
      </c>
      <c r="C1455" s="90" t="s">
        <v>6292</v>
      </c>
      <c r="D1455" s="36">
        <v>45724</v>
      </c>
      <c r="E1455" s="36">
        <v>45724</v>
      </c>
      <c r="F1455" s="36">
        <v>46752</v>
      </c>
      <c r="G1455" s="64" t="s">
        <v>6</v>
      </c>
      <c r="H1455" s="83" t="s">
        <v>6316</v>
      </c>
      <c r="I1455" s="83" t="s">
        <v>2519</v>
      </c>
      <c r="J1455" s="43" t="s">
        <v>5236</v>
      </c>
      <c r="K1455" s="43" t="s">
        <v>3181</v>
      </c>
      <c r="L1455" s="85">
        <v>30000</v>
      </c>
      <c r="M1455" s="30">
        <v>0</v>
      </c>
      <c r="N1455" s="30">
        <f>5000</f>
        <v>5000</v>
      </c>
      <c r="O1455" s="30">
        <f t="shared" si="29"/>
        <v>25000</v>
      </c>
      <c r="P1455" s="43"/>
    </row>
    <row r="1456" spans="2:16" x14ac:dyDescent="0.35">
      <c r="B1456" s="83" t="s">
        <v>6088</v>
      </c>
      <c r="C1456" s="90" t="s">
        <v>6293</v>
      </c>
      <c r="D1456" s="36">
        <v>45724</v>
      </c>
      <c r="E1456" s="36">
        <v>45724</v>
      </c>
      <c r="F1456" s="36">
        <v>47118</v>
      </c>
      <c r="G1456" s="64" t="s">
        <v>6</v>
      </c>
      <c r="H1456" s="83" t="s">
        <v>6317</v>
      </c>
      <c r="I1456" s="83" t="s">
        <v>2485</v>
      </c>
      <c r="J1456" s="43" t="s">
        <v>5236</v>
      </c>
      <c r="K1456" s="43" t="s">
        <v>3181</v>
      </c>
      <c r="L1456" s="85">
        <v>35000</v>
      </c>
      <c r="M1456" s="30">
        <v>0</v>
      </c>
      <c r="N1456" s="30">
        <f>5000</f>
        <v>5000</v>
      </c>
      <c r="O1456" s="30">
        <f t="shared" si="29"/>
        <v>30000</v>
      </c>
      <c r="P1456" s="43"/>
    </row>
    <row r="1457" spans="2:16" x14ac:dyDescent="0.35">
      <c r="B1457" s="83" t="s">
        <v>5788</v>
      </c>
      <c r="C1457" s="90" t="s">
        <v>6294</v>
      </c>
      <c r="D1457" s="36">
        <v>45724</v>
      </c>
      <c r="E1457" s="36">
        <v>45724</v>
      </c>
      <c r="F1457" s="36">
        <v>46088</v>
      </c>
      <c r="G1457" s="64" t="s">
        <v>6</v>
      </c>
      <c r="H1457" s="83" t="s">
        <v>6318</v>
      </c>
      <c r="I1457" s="83" t="s">
        <v>2494</v>
      </c>
      <c r="J1457" s="83" t="s">
        <v>4704</v>
      </c>
      <c r="K1457" s="43" t="s">
        <v>3182</v>
      </c>
      <c r="L1457" s="85">
        <v>5000</v>
      </c>
      <c r="M1457" s="30">
        <v>0</v>
      </c>
      <c r="N1457" s="30"/>
      <c r="O1457" s="30">
        <f t="shared" si="29"/>
        <v>5000</v>
      </c>
      <c r="P1457" s="43"/>
    </row>
    <row r="1458" spans="2:16" x14ac:dyDescent="0.35">
      <c r="B1458" s="83" t="s">
        <v>5788</v>
      </c>
      <c r="C1458" s="90" t="s">
        <v>6295</v>
      </c>
      <c r="D1458" s="36">
        <v>45724</v>
      </c>
      <c r="E1458" s="36">
        <v>45724</v>
      </c>
      <c r="F1458" s="36">
        <v>46088</v>
      </c>
      <c r="G1458" s="64" t="s">
        <v>6</v>
      </c>
      <c r="H1458" s="83" t="s">
        <v>6319</v>
      </c>
      <c r="I1458" s="83" t="s">
        <v>2473</v>
      </c>
      <c r="J1458" s="83" t="s">
        <v>4704</v>
      </c>
      <c r="K1458" s="43" t="s">
        <v>3182</v>
      </c>
      <c r="L1458" s="85">
        <v>10000</v>
      </c>
      <c r="M1458" s="30">
        <v>0</v>
      </c>
      <c r="N1458" s="30"/>
      <c r="O1458" s="30">
        <f t="shared" si="29"/>
        <v>10000</v>
      </c>
      <c r="P1458" s="43"/>
    </row>
    <row r="1459" spans="2:16" ht="29" x14ac:dyDescent="0.35">
      <c r="B1459" s="83" t="s">
        <v>5687</v>
      </c>
      <c r="C1459" s="90" t="s">
        <v>6296</v>
      </c>
      <c r="D1459" s="36">
        <v>45724</v>
      </c>
      <c r="E1459" s="36">
        <v>45724</v>
      </c>
      <c r="F1459" s="36">
        <v>45838</v>
      </c>
      <c r="G1459" s="64" t="s">
        <v>6</v>
      </c>
      <c r="H1459" s="83" t="s">
        <v>5762</v>
      </c>
      <c r="I1459" s="83" t="s">
        <v>2480</v>
      </c>
      <c r="J1459" s="83" t="s">
        <v>5803</v>
      </c>
      <c r="K1459" s="43" t="s">
        <v>2573</v>
      </c>
      <c r="L1459" s="85">
        <v>1440</v>
      </c>
      <c r="M1459" s="30">
        <v>0</v>
      </c>
      <c r="N1459" s="30"/>
      <c r="O1459" s="30">
        <f t="shared" si="29"/>
        <v>1440</v>
      </c>
      <c r="P1459" s="43"/>
    </row>
    <row r="1460" spans="2:16" ht="29" x14ac:dyDescent="0.35">
      <c r="B1460" s="83" t="s">
        <v>5687</v>
      </c>
      <c r="C1460" s="90" t="s">
        <v>6297</v>
      </c>
      <c r="D1460" s="36">
        <v>45724</v>
      </c>
      <c r="E1460" s="36">
        <v>45724</v>
      </c>
      <c r="F1460" s="36">
        <v>45838</v>
      </c>
      <c r="G1460" s="64" t="s">
        <v>6</v>
      </c>
      <c r="H1460" s="83" t="s">
        <v>940</v>
      </c>
      <c r="I1460" s="83" t="s">
        <v>2782</v>
      </c>
      <c r="J1460" s="83" t="s">
        <v>5803</v>
      </c>
      <c r="K1460" s="43" t="s">
        <v>2573</v>
      </c>
      <c r="L1460" s="85">
        <v>1440</v>
      </c>
      <c r="M1460" s="30">
        <v>0</v>
      </c>
      <c r="N1460" s="30"/>
      <c r="O1460" s="30">
        <f t="shared" si="29"/>
        <v>1440</v>
      </c>
      <c r="P1460" s="43"/>
    </row>
    <row r="1461" spans="2:16" ht="29" x14ac:dyDescent="0.35">
      <c r="B1461" s="83" t="s">
        <v>5687</v>
      </c>
      <c r="C1461" s="90" t="s">
        <v>6298</v>
      </c>
      <c r="D1461" s="91">
        <v>45729</v>
      </c>
      <c r="E1461" s="36">
        <v>45729</v>
      </c>
      <c r="F1461" s="36">
        <v>45838</v>
      </c>
      <c r="G1461" s="64" t="s">
        <v>6</v>
      </c>
      <c r="H1461" s="83" t="s">
        <v>973</v>
      </c>
      <c r="I1461" s="83" t="s">
        <v>2504</v>
      </c>
      <c r="J1461" s="83" t="s">
        <v>5803</v>
      </c>
      <c r="K1461" s="43" t="s">
        <v>2573</v>
      </c>
      <c r="L1461" s="85">
        <v>3049.66</v>
      </c>
      <c r="M1461" s="30">
        <v>0</v>
      </c>
      <c r="N1461" s="30"/>
      <c r="O1461" s="30">
        <f t="shared" si="29"/>
        <v>3049.66</v>
      </c>
      <c r="P1461" s="43"/>
    </row>
    <row r="1462" spans="2:16" x14ac:dyDescent="0.35">
      <c r="B1462" s="83" t="s">
        <v>6088</v>
      </c>
      <c r="C1462" s="90" t="s">
        <v>6299</v>
      </c>
      <c r="D1462" s="91">
        <v>45729</v>
      </c>
      <c r="E1462" s="36">
        <v>45729</v>
      </c>
      <c r="F1462" s="36">
        <v>46387</v>
      </c>
      <c r="G1462" s="64" t="s">
        <v>6</v>
      </c>
      <c r="H1462" s="83" t="s">
        <v>6320</v>
      </c>
      <c r="I1462" s="83" t="s">
        <v>2944</v>
      </c>
      <c r="J1462" s="43" t="s">
        <v>5236</v>
      </c>
      <c r="K1462" s="43" t="s">
        <v>3181</v>
      </c>
      <c r="L1462" s="85">
        <v>15000</v>
      </c>
      <c r="M1462" s="30">
        <v>0</v>
      </c>
      <c r="N1462" s="30">
        <f>5000</f>
        <v>5000</v>
      </c>
      <c r="O1462" s="30">
        <f t="shared" si="29"/>
        <v>10000</v>
      </c>
      <c r="P1462" s="43"/>
    </row>
    <row r="1463" spans="2:16" ht="29" x14ac:dyDescent="0.35">
      <c r="B1463" s="83" t="s">
        <v>5831</v>
      </c>
      <c r="C1463" s="90" t="s">
        <v>6300</v>
      </c>
      <c r="D1463" s="91">
        <v>45729</v>
      </c>
      <c r="E1463" s="36">
        <v>45729</v>
      </c>
      <c r="F1463" s="36">
        <v>46824</v>
      </c>
      <c r="G1463" s="64" t="s">
        <v>6</v>
      </c>
      <c r="H1463" s="83" t="s">
        <v>6321</v>
      </c>
      <c r="I1463" s="83" t="s">
        <v>2804</v>
      </c>
      <c r="J1463" s="83" t="s">
        <v>5803</v>
      </c>
      <c r="K1463" s="43" t="s">
        <v>2573</v>
      </c>
      <c r="L1463" s="85">
        <v>1000</v>
      </c>
      <c r="M1463" s="30">
        <v>0</v>
      </c>
      <c r="N1463" s="30"/>
      <c r="O1463" s="30">
        <f t="shared" si="29"/>
        <v>1000</v>
      </c>
      <c r="P1463" s="43"/>
    </row>
    <row r="1464" spans="2:16" ht="29" x14ac:dyDescent="0.35">
      <c r="B1464" s="83" t="s">
        <v>5831</v>
      </c>
      <c r="C1464" s="90" t="s">
        <v>6301</v>
      </c>
      <c r="D1464" s="91">
        <v>45730</v>
      </c>
      <c r="E1464" s="36">
        <v>45730</v>
      </c>
      <c r="F1464" s="36">
        <v>46825</v>
      </c>
      <c r="G1464" s="64" t="s">
        <v>6</v>
      </c>
      <c r="H1464" s="83" t="s">
        <v>6322</v>
      </c>
      <c r="I1464" s="83" t="s">
        <v>2480</v>
      </c>
      <c r="J1464" s="83" t="s">
        <v>5803</v>
      </c>
      <c r="K1464" s="43" t="s">
        <v>2573</v>
      </c>
      <c r="L1464" s="85">
        <v>1000</v>
      </c>
      <c r="M1464" s="30">
        <v>0</v>
      </c>
      <c r="N1464" s="30"/>
      <c r="O1464" s="30">
        <f t="shared" si="29"/>
        <v>1000</v>
      </c>
      <c r="P1464" s="43"/>
    </row>
    <row r="1465" spans="2:16" ht="29" x14ac:dyDescent="0.35">
      <c r="B1465" s="83" t="s">
        <v>5687</v>
      </c>
      <c r="C1465" s="90" t="s">
        <v>6302</v>
      </c>
      <c r="D1465" s="91">
        <v>45730</v>
      </c>
      <c r="E1465" s="36">
        <v>45730</v>
      </c>
      <c r="F1465" s="36">
        <v>45838</v>
      </c>
      <c r="G1465" s="64" t="s">
        <v>6</v>
      </c>
      <c r="H1465" s="83" t="s">
        <v>6323</v>
      </c>
      <c r="I1465" s="83" t="s">
        <v>2494</v>
      </c>
      <c r="J1465" s="83" t="s">
        <v>5803</v>
      </c>
      <c r="K1465" s="43" t="s">
        <v>2573</v>
      </c>
      <c r="L1465" s="85">
        <v>5012.5</v>
      </c>
      <c r="M1465" s="30">
        <v>0</v>
      </c>
      <c r="N1465" s="30"/>
      <c r="O1465" s="30">
        <f t="shared" si="29"/>
        <v>5012.5</v>
      </c>
      <c r="P1465" s="43"/>
    </row>
    <row r="1466" spans="2:16" ht="29" x14ac:dyDescent="0.35">
      <c r="B1466" s="83" t="s">
        <v>5831</v>
      </c>
      <c r="C1466" s="90" t="s">
        <v>6303</v>
      </c>
      <c r="D1466" s="91">
        <v>45734</v>
      </c>
      <c r="E1466" s="36">
        <v>45734</v>
      </c>
      <c r="F1466" s="36">
        <v>46829</v>
      </c>
      <c r="G1466" s="64" t="s">
        <v>6</v>
      </c>
      <c r="H1466" s="83" t="s">
        <v>6324</v>
      </c>
      <c r="I1466" s="83" t="s">
        <v>2542</v>
      </c>
      <c r="J1466" s="83" t="s">
        <v>5803</v>
      </c>
      <c r="K1466" s="43" t="s">
        <v>2573</v>
      </c>
      <c r="L1466" s="85">
        <v>1000</v>
      </c>
      <c r="M1466" s="30">
        <v>0</v>
      </c>
      <c r="N1466" s="30"/>
      <c r="O1466" s="30">
        <f t="shared" si="29"/>
        <v>1000</v>
      </c>
      <c r="P1466" s="43"/>
    </row>
    <row r="1467" spans="2:16" ht="29" x14ac:dyDescent="0.35">
      <c r="B1467" s="83" t="s">
        <v>5687</v>
      </c>
      <c r="C1467" s="90" t="s">
        <v>6304</v>
      </c>
      <c r="D1467" s="91">
        <v>45737</v>
      </c>
      <c r="E1467" s="36">
        <v>45737</v>
      </c>
      <c r="F1467" s="36">
        <v>45838</v>
      </c>
      <c r="G1467" s="64" t="s">
        <v>6</v>
      </c>
      <c r="H1467" s="83" t="s">
        <v>6325</v>
      </c>
      <c r="I1467" s="83" t="s">
        <v>2499</v>
      </c>
      <c r="J1467" s="83" t="s">
        <v>5803</v>
      </c>
      <c r="K1467" s="43" t="s">
        <v>2573</v>
      </c>
      <c r="L1467" s="85">
        <v>2050</v>
      </c>
      <c r="M1467" s="30">
        <v>0</v>
      </c>
      <c r="N1467" s="30"/>
      <c r="O1467" s="30">
        <f t="shared" si="29"/>
        <v>2050</v>
      </c>
      <c r="P1467" s="43"/>
    </row>
    <row r="1468" spans="2:16" x14ac:dyDescent="0.35">
      <c r="B1468" s="83" t="s">
        <v>6276</v>
      </c>
      <c r="C1468" s="90" t="s">
        <v>6333</v>
      </c>
      <c r="D1468" s="91">
        <v>45740</v>
      </c>
      <c r="E1468" s="36">
        <v>45740</v>
      </c>
      <c r="F1468" s="36">
        <v>46835</v>
      </c>
      <c r="G1468" s="64" t="s">
        <v>6</v>
      </c>
      <c r="H1468" s="83" t="s">
        <v>6327</v>
      </c>
      <c r="I1468" s="83" t="s">
        <v>2494</v>
      </c>
      <c r="J1468" s="83" t="s">
        <v>6329</v>
      </c>
      <c r="K1468" s="43" t="s">
        <v>5076</v>
      </c>
      <c r="L1468" s="92">
        <v>9500</v>
      </c>
      <c r="M1468" s="30">
        <v>0</v>
      </c>
      <c r="N1468" s="30"/>
      <c r="O1468" s="30">
        <f t="shared" si="29"/>
        <v>9500</v>
      </c>
      <c r="P1468" s="44">
        <v>5.01</v>
      </c>
    </row>
    <row r="1469" spans="2:16" x14ac:dyDescent="0.35">
      <c r="B1469" s="83" t="s">
        <v>6334</v>
      </c>
      <c r="C1469" s="90" t="s">
        <v>6335</v>
      </c>
      <c r="D1469" s="91">
        <v>45718</v>
      </c>
      <c r="E1469" s="36">
        <v>45718</v>
      </c>
      <c r="F1469" s="36">
        <v>45838</v>
      </c>
      <c r="G1469" s="64" t="s">
        <v>6</v>
      </c>
      <c r="H1469" s="83" t="s">
        <v>6328</v>
      </c>
      <c r="I1469" s="83" t="s">
        <v>2480</v>
      </c>
      <c r="J1469" s="83" t="s">
        <v>6330</v>
      </c>
      <c r="K1469" s="43" t="s">
        <v>6331</v>
      </c>
      <c r="L1469" s="92">
        <v>75000</v>
      </c>
      <c r="M1469" s="30">
        <v>0</v>
      </c>
      <c r="N1469" s="30">
        <f>750+3000+3000</f>
        <v>6750</v>
      </c>
      <c r="O1469" s="30">
        <f t="shared" si="29"/>
        <v>68250</v>
      </c>
      <c r="P1469" s="43"/>
    </row>
    <row r="1470" spans="2:16" x14ac:dyDescent="0.35">
      <c r="B1470" s="83" t="s">
        <v>6338</v>
      </c>
      <c r="C1470" s="90" t="s">
        <v>6339</v>
      </c>
      <c r="D1470" s="91">
        <v>45739</v>
      </c>
      <c r="E1470" s="36">
        <v>45739</v>
      </c>
      <c r="F1470" s="36">
        <v>47664</v>
      </c>
      <c r="G1470" s="64" t="s">
        <v>6</v>
      </c>
      <c r="H1470" s="83" t="s">
        <v>2225</v>
      </c>
      <c r="I1470" s="83" t="s">
        <v>2490</v>
      </c>
      <c r="J1470" s="75" t="s">
        <v>5793</v>
      </c>
      <c r="K1470" s="43" t="s">
        <v>2583</v>
      </c>
      <c r="L1470" s="92">
        <v>19500</v>
      </c>
      <c r="M1470" s="30">
        <v>0</v>
      </c>
      <c r="N1470" s="30"/>
      <c r="O1470" s="30">
        <f t="shared" si="29"/>
        <v>19500</v>
      </c>
      <c r="P1470" s="44">
        <v>1.01</v>
      </c>
    </row>
    <row r="1471" spans="2:16" x14ac:dyDescent="0.35">
      <c r="B1471" s="83" t="s">
        <v>6336</v>
      </c>
      <c r="C1471" s="90" t="s">
        <v>6337</v>
      </c>
      <c r="D1471" s="91">
        <v>45739</v>
      </c>
      <c r="E1471" s="36">
        <v>45739</v>
      </c>
      <c r="F1471" s="36">
        <v>47664</v>
      </c>
      <c r="G1471" s="64" t="s">
        <v>6</v>
      </c>
      <c r="H1471" s="83" t="s">
        <v>2225</v>
      </c>
      <c r="I1471" s="83" t="s">
        <v>2490</v>
      </c>
      <c r="J1471" s="83" t="s">
        <v>5766</v>
      </c>
      <c r="K1471" s="43" t="s">
        <v>5847</v>
      </c>
      <c r="L1471" s="92">
        <v>175000</v>
      </c>
      <c r="M1471" s="30">
        <v>0</v>
      </c>
      <c r="N1471" s="30"/>
      <c r="O1471" s="30">
        <f t="shared" si="29"/>
        <v>175000</v>
      </c>
      <c r="P1471" s="44">
        <v>1.01</v>
      </c>
    </row>
    <row r="1472" spans="2:16" x14ac:dyDescent="0.35">
      <c r="B1472" s="83" t="s">
        <v>5648</v>
      </c>
      <c r="C1472" s="90" t="s">
        <v>6342</v>
      </c>
      <c r="D1472" s="91">
        <v>45587</v>
      </c>
      <c r="E1472" s="36" t="s">
        <v>6343</v>
      </c>
      <c r="F1472" s="36">
        <v>45657</v>
      </c>
      <c r="G1472" s="64" t="s">
        <v>6</v>
      </c>
      <c r="H1472" s="83" t="s">
        <v>6344</v>
      </c>
      <c r="I1472" s="83" t="s">
        <v>2492</v>
      </c>
      <c r="J1472" s="43" t="s">
        <v>4704</v>
      </c>
      <c r="K1472" s="83" t="s">
        <v>4704</v>
      </c>
      <c r="L1472" s="92">
        <v>10000</v>
      </c>
      <c r="M1472" s="30">
        <v>0</v>
      </c>
      <c r="N1472" s="30">
        <v>10000</v>
      </c>
      <c r="O1472" s="30">
        <f t="shared" ref="O1472:O1474" si="30">L1472-M1472-N1472</f>
        <v>0</v>
      </c>
      <c r="P1472" s="44"/>
    </row>
    <row r="1473" spans="2:16" x14ac:dyDescent="0.35">
      <c r="B1473" s="35" t="s">
        <v>5346</v>
      </c>
      <c r="C1473" s="80" t="s">
        <v>5345</v>
      </c>
      <c r="D1473" s="99">
        <v>45722</v>
      </c>
      <c r="E1473" s="99">
        <v>45443</v>
      </c>
      <c r="F1473" s="36">
        <v>45807</v>
      </c>
      <c r="G1473" s="64" t="s">
        <v>6</v>
      </c>
      <c r="H1473" s="35" t="s">
        <v>802</v>
      </c>
      <c r="I1473" s="35" t="s">
        <v>2816</v>
      </c>
      <c r="J1473" s="43" t="s">
        <v>5419</v>
      </c>
      <c r="K1473" s="43" t="s">
        <v>2581</v>
      </c>
      <c r="L1473" s="30">
        <v>2659</v>
      </c>
      <c r="M1473" s="30">
        <v>0</v>
      </c>
      <c r="N1473" s="30">
        <v>2659</v>
      </c>
      <c r="O1473" s="30">
        <f t="shared" si="30"/>
        <v>0</v>
      </c>
      <c r="P1473" s="43" t="s">
        <v>2874</v>
      </c>
    </row>
    <row r="1474" spans="2:16" x14ac:dyDescent="0.35">
      <c r="B1474" s="35" t="s">
        <v>6349</v>
      </c>
      <c r="C1474" s="80" t="s">
        <v>6348</v>
      </c>
      <c r="D1474" s="99">
        <v>45464</v>
      </c>
      <c r="E1474" s="99">
        <v>45464</v>
      </c>
      <c r="F1474" s="36">
        <v>45807</v>
      </c>
      <c r="G1474" s="64" t="s">
        <v>6</v>
      </c>
      <c r="H1474" s="35" t="s">
        <v>802</v>
      </c>
      <c r="I1474" s="35" t="s">
        <v>2816</v>
      </c>
      <c r="J1474" s="43" t="s">
        <v>5419</v>
      </c>
      <c r="K1474" s="43" t="s">
        <v>2581</v>
      </c>
      <c r="L1474" s="30">
        <v>10440</v>
      </c>
      <c r="M1474" s="30">
        <v>0</v>
      </c>
      <c r="N1474" s="30">
        <v>10440</v>
      </c>
      <c r="O1474" s="30">
        <f t="shared" si="30"/>
        <v>0</v>
      </c>
      <c r="P1474" s="43" t="s">
        <v>2874</v>
      </c>
    </row>
    <row r="1475" spans="2:16" x14ac:dyDescent="0.35">
      <c r="B1475" s="35" t="s">
        <v>6350</v>
      </c>
      <c r="C1475" s="80" t="s">
        <v>6351</v>
      </c>
      <c r="D1475" s="99">
        <v>45601</v>
      </c>
      <c r="E1475" s="99">
        <v>45601</v>
      </c>
      <c r="F1475" s="36">
        <v>45807</v>
      </c>
      <c r="G1475" s="64" t="s">
        <v>6</v>
      </c>
      <c r="H1475" s="35" t="s">
        <v>802</v>
      </c>
      <c r="I1475" s="35" t="s">
        <v>2816</v>
      </c>
      <c r="J1475" s="43" t="s">
        <v>5419</v>
      </c>
      <c r="K1475" s="43" t="s">
        <v>2581</v>
      </c>
      <c r="L1475" s="30">
        <v>30670</v>
      </c>
      <c r="M1475" s="30">
        <v>0</v>
      </c>
      <c r="N1475" s="30">
        <v>30670</v>
      </c>
      <c r="O1475" s="30">
        <f t="shared" ref="O1475:O1476" si="31">L1475-M1475-N1475</f>
        <v>0</v>
      </c>
      <c r="P1475" s="43" t="s">
        <v>2874</v>
      </c>
    </row>
    <row r="1476" spans="2:16" x14ac:dyDescent="0.35">
      <c r="B1476" s="35" t="s">
        <v>3963</v>
      </c>
      <c r="C1476" s="80" t="s">
        <v>6352</v>
      </c>
      <c r="D1476" s="36">
        <v>45715</v>
      </c>
      <c r="E1476" s="36">
        <v>45715</v>
      </c>
      <c r="F1476" s="36">
        <v>47483</v>
      </c>
      <c r="G1476" s="64" t="s">
        <v>6</v>
      </c>
      <c r="H1476" s="43" t="s">
        <v>6353</v>
      </c>
      <c r="I1476" s="35" t="s">
        <v>2492</v>
      </c>
      <c r="J1476" s="43" t="s">
        <v>5236</v>
      </c>
      <c r="K1476" s="43" t="s">
        <v>3181</v>
      </c>
      <c r="L1476" s="30">
        <v>40000</v>
      </c>
      <c r="M1476" s="30">
        <v>0</v>
      </c>
      <c r="N1476" s="30">
        <f>5000</f>
        <v>5000</v>
      </c>
      <c r="O1476" s="30">
        <f t="shared" si="31"/>
        <v>35000</v>
      </c>
      <c r="P1476" s="44" t="s">
        <v>2874</v>
      </c>
    </row>
    <row r="1477" spans="2:16" x14ac:dyDescent="0.35">
      <c r="B1477" s="35" t="s">
        <v>6354</v>
      </c>
      <c r="C1477" s="80" t="s">
        <v>6355</v>
      </c>
      <c r="D1477" s="36">
        <v>45611</v>
      </c>
      <c r="E1477" s="36">
        <v>45611</v>
      </c>
      <c r="F1477" s="36">
        <v>46705</v>
      </c>
      <c r="G1477" s="64" t="s">
        <v>6</v>
      </c>
      <c r="H1477" s="43" t="s">
        <v>6356</v>
      </c>
      <c r="I1477" s="35" t="s">
        <v>2480</v>
      </c>
      <c r="J1477" s="43" t="s">
        <v>6357</v>
      </c>
      <c r="K1477" s="43" t="s">
        <v>3384</v>
      </c>
      <c r="L1477" s="30">
        <v>160000</v>
      </c>
      <c r="M1477" s="30">
        <v>0</v>
      </c>
      <c r="N1477" s="30">
        <f>158813.3</f>
        <v>158813.29999999999</v>
      </c>
      <c r="O1477" s="30">
        <f t="shared" ref="O1477:O1478" si="32">L1477-M1477-N1477</f>
        <v>1186.7000000000116</v>
      </c>
      <c r="P1477" s="44" t="s">
        <v>2874</v>
      </c>
    </row>
    <row r="1478" spans="2:16" x14ac:dyDescent="0.35">
      <c r="B1478" s="35" t="s">
        <v>1886</v>
      </c>
      <c r="C1478" s="80" t="s">
        <v>2870</v>
      </c>
      <c r="D1478" s="40">
        <v>44414</v>
      </c>
      <c r="E1478" s="37">
        <v>44414</v>
      </c>
      <c r="F1478" s="37">
        <v>45509</v>
      </c>
      <c r="G1478" s="64" t="s">
        <v>6</v>
      </c>
      <c r="H1478" s="43" t="s">
        <v>2871</v>
      </c>
      <c r="I1478" s="35" t="s">
        <v>2541</v>
      </c>
      <c r="J1478" s="43" t="s">
        <v>6357</v>
      </c>
      <c r="K1478" s="43" t="s">
        <v>5557</v>
      </c>
      <c r="L1478" s="30">
        <v>50000</v>
      </c>
      <c r="M1478" s="30">
        <v>0</v>
      </c>
      <c r="N1478" s="30">
        <f>25000+25000</f>
        <v>50000</v>
      </c>
      <c r="O1478" s="30">
        <f t="shared" si="32"/>
        <v>0</v>
      </c>
      <c r="P1478" s="44" t="s">
        <v>2874</v>
      </c>
    </row>
    <row r="1479" spans="2:16" x14ac:dyDescent="0.35">
      <c r="B1479" s="35" t="s">
        <v>6360</v>
      </c>
      <c r="C1479" s="80" t="s">
        <v>6361</v>
      </c>
      <c r="D1479" s="99">
        <v>45548</v>
      </c>
      <c r="E1479" s="99">
        <v>45548</v>
      </c>
      <c r="F1479" s="36">
        <v>45807</v>
      </c>
      <c r="G1479" s="64" t="s">
        <v>6</v>
      </c>
      <c r="H1479" s="35" t="s">
        <v>802</v>
      </c>
      <c r="I1479" s="35" t="s">
        <v>2816</v>
      </c>
      <c r="J1479" s="43" t="s">
        <v>5419</v>
      </c>
      <c r="K1479" s="43" t="s">
        <v>2581</v>
      </c>
      <c r="L1479" s="30">
        <v>26097</v>
      </c>
      <c r="M1479" s="30">
        <v>0</v>
      </c>
      <c r="N1479" s="30">
        <v>26097</v>
      </c>
      <c r="O1479" s="30">
        <f t="shared" ref="O1479:O1480" si="33">L1479-M1479-N1479</f>
        <v>0</v>
      </c>
      <c r="P1479" s="43" t="s">
        <v>2874</v>
      </c>
    </row>
    <row r="1480" spans="2:16" ht="29" x14ac:dyDescent="0.35">
      <c r="B1480" s="83" t="s">
        <v>5687</v>
      </c>
      <c r="C1480" s="90" t="s">
        <v>5749</v>
      </c>
      <c r="D1480" s="91">
        <v>45555</v>
      </c>
      <c r="E1480" s="36">
        <v>45555</v>
      </c>
      <c r="F1480" s="36">
        <v>45657</v>
      </c>
      <c r="G1480" s="64" t="s">
        <v>6</v>
      </c>
      <c r="H1480" s="83" t="s">
        <v>6362</v>
      </c>
      <c r="I1480" s="83" t="s">
        <v>2484</v>
      </c>
      <c r="J1480" s="83" t="s">
        <v>6363</v>
      </c>
      <c r="K1480" s="43" t="s">
        <v>2573</v>
      </c>
      <c r="L1480" s="85">
        <v>1440</v>
      </c>
      <c r="M1480" s="30">
        <v>0</v>
      </c>
      <c r="N1480" s="30">
        <v>1440</v>
      </c>
      <c r="O1480" s="30">
        <f t="shared" si="33"/>
        <v>0</v>
      </c>
      <c r="P1480" s="43"/>
    </row>
    <row r="1481" spans="2:16" x14ac:dyDescent="0.35">
      <c r="B1481" s="83" t="s">
        <v>6366</v>
      </c>
      <c r="C1481" s="90" t="s">
        <v>6396</v>
      </c>
      <c r="D1481" s="84">
        <v>45739</v>
      </c>
      <c r="E1481" s="84">
        <v>45739</v>
      </c>
      <c r="F1481" s="36">
        <v>47564</v>
      </c>
      <c r="G1481" s="64" t="s">
        <v>6</v>
      </c>
      <c r="H1481" s="83" t="s">
        <v>6445</v>
      </c>
      <c r="I1481" s="83" t="s">
        <v>6472</v>
      </c>
      <c r="J1481" s="83" t="s">
        <v>5766</v>
      </c>
      <c r="K1481" s="43" t="s">
        <v>5847</v>
      </c>
      <c r="L1481" s="85">
        <v>3090819</v>
      </c>
      <c r="M1481" s="30">
        <v>0</v>
      </c>
      <c r="N1481" s="30"/>
      <c r="O1481" s="30">
        <f t="shared" ref="O1481:O1532" si="34">L1481-M1481-N1481</f>
        <v>3090819</v>
      </c>
      <c r="P1481" s="43" t="s">
        <v>6497</v>
      </c>
    </row>
    <row r="1482" spans="2:16" ht="29" x14ac:dyDescent="0.35">
      <c r="B1482" s="83" t="s">
        <v>5788</v>
      </c>
      <c r="C1482" s="90" t="s">
        <v>6305</v>
      </c>
      <c r="D1482" s="84">
        <v>45739</v>
      </c>
      <c r="E1482" s="84">
        <v>45739</v>
      </c>
      <c r="F1482" s="36">
        <v>46105</v>
      </c>
      <c r="G1482" s="64" t="s">
        <v>6</v>
      </c>
      <c r="H1482" s="83" t="s">
        <v>6326</v>
      </c>
      <c r="I1482" s="83" t="s">
        <v>6473</v>
      </c>
      <c r="J1482" s="83" t="s">
        <v>6966</v>
      </c>
      <c r="K1482" s="43" t="s">
        <v>3182</v>
      </c>
      <c r="L1482" s="85">
        <v>2500</v>
      </c>
      <c r="M1482" s="30">
        <v>0</v>
      </c>
      <c r="N1482" s="30"/>
      <c r="O1482" s="30">
        <f t="shared" si="34"/>
        <v>2500</v>
      </c>
      <c r="P1482" s="43"/>
    </row>
    <row r="1483" spans="2:16" x14ac:dyDescent="0.35">
      <c r="B1483" s="83" t="s">
        <v>6367</v>
      </c>
      <c r="C1483" s="90" t="s">
        <v>6397</v>
      </c>
      <c r="D1483" s="84">
        <v>45740</v>
      </c>
      <c r="E1483" s="84">
        <v>45740</v>
      </c>
      <c r="F1483" s="36">
        <v>47565</v>
      </c>
      <c r="G1483" s="64" t="s">
        <v>6</v>
      </c>
      <c r="H1483" s="83" t="s">
        <v>6312</v>
      </c>
      <c r="I1483" s="83" t="s">
        <v>6474</v>
      </c>
      <c r="J1483" s="83" t="s">
        <v>6242</v>
      </c>
      <c r="K1483" s="75" t="s">
        <v>2585</v>
      </c>
      <c r="L1483" s="85">
        <v>724500</v>
      </c>
      <c r="M1483" s="30">
        <v>0</v>
      </c>
      <c r="N1483" s="30"/>
      <c r="O1483" s="30">
        <f t="shared" si="34"/>
        <v>724500</v>
      </c>
      <c r="P1483" s="43" t="s">
        <v>6340</v>
      </c>
    </row>
    <row r="1484" spans="2:16" x14ac:dyDescent="0.35">
      <c r="B1484" s="83" t="s">
        <v>6368</v>
      </c>
      <c r="C1484" s="90" t="s">
        <v>6398</v>
      </c>
      <c r="D1484" s="84">
        <v>45740</v>
      </c>
      <c r="E1484" s="84">
        <v>45740</v>
      </c>
      <c r="F1484" s="36">
        <v>47207</v>
      </c>
      <c r="G1484" s="64" t="s">
        <v>6</v>
      </c>
      <c r="H1484" s="83" t="s">
        <v>6446</v>
      </c>
      <c r="I1484" s="83" t="s">
        <v>6473</v>
      </c>
      <c r="J1484" s="83" t="s">
        <v>6495</v>
      </c>
      <c r="K1484" s="43" t="s">
        <v>2583</v>
      </c>
      <c r="L1484" s="85">
        <v>15000</v>
      </c>
      <c r="M1484" s="30">
        <v>0</v>
      </c>
      <c r="N1484" s="30"/>
      <c r="O1484" s="30">
        <f t="shared" si="34"/>
        <v>15000</v>
      </c>
      <c r="P1484" s="43" t="s">
        <v>6498</v>
      </c>
    </row>
    <row r="1485" spans="2:16" x14ac:dyDescent="0.35">
      <c r="B1485" s="83" t="s">
        <v>6369</v>
      </c>
      <c r="C1485" s="90" t="s">
        <v>6399</v>
      </c>
      <c r="D1485" s="84">
        <v>45740</v>
      </c>
      <c r="E1485" s="84">
        <v>45740</v>
      </c>
      <c r="F1485" s="36">
        <v>47207</v>
      </c>
      <c r="G1485" s="64" t="s">
        <v>6</v>
      </c>
      <c r="H1485" s="83" t="s">
        <v>6446</v>
      </c>
      <c r="I1485" s="83" t="s">
        <v>6473</v>
      </c>
      <c r="J1485" s="83" t="s">
        <v>5766</v>
      </c>
      <c r="K1485" s="43" t="s">
        <v>5847</v>
      </c>
      <c r="L1485" s="85">
        <v>12000</v>
      </c>
      <c r="M1485" s="30">
        <v>0</v>
      </c>
      <c r="N1485" s="30"/>
      <c r="O1485" s="30">
        <f t="shared" si="34"/>
        <v>12000</v>
      </c>
      <c r="P1485" s="43" t="s">
        <v>6498</v>
      </c>
    </row>
    <row r="1486" spans="2:16" x14ac:dyDescent="0.35">
      <c r="B1486" s="83" t="s">
        <v>6370</v>
      </c>
      <c r="C1486" s="90" t="s">
        <v>6400</v>
      </c>
      <c r="D1486" s="84">
        <v>45740</v>
      </c>
      <c r="E1486" s="84">
        <v>45740</v>
      </c>
      <c r="F1486" s="36">
        <v>46835</v>
      </c>
      <c r="G1486" s="64" t="s">
        <v>6</v>
      </c>
      <c r="H1486" s="83" t="s">
        <v>6447</v>
      </c>
      <c r="I1486" s="83" t="s">
        <v>6475</v>
      </c>
      <c r="J1486" s="83" t="s">
        <v>6495</v>
      </c>
      <c r="K1486" s="43" t="s">
        <v>2583</v>
      </c>
      <c r="L1486" s="85">
        <v>4500</v>
      </c>
      <c r="M1486" s="30">
        <v>0</v>
      </c>
      <c r="N1486" s="30"/>
      <c r="O1486" s="30">
        <f t="shared" si="34"/>
        <v>4500</v>
      </c>
      <c r="P1486" s="43" t="s">
        <v>6499</v>
      </c>
    </row>
    <row r="1487" spans="2:16" x14ac:dyDescent="0.35">
      <c r="B1487" s="83" t="s">
        <v>6371</v>
      </c>
      <c r="C1487" s="90" t="s">
        <v>6401</v>
      </c>
      <c r="D1487" s="84">
        <v>45740</v>
      </c>
      <c r="E1487" s="84">
        <v>45740</v>
      </c>
      <c r="F1487" s="36">
        <v>47572</v>
      </c>
      <c r="G1487" s="64" t="s">
        <v>6</v>
      </c>
      <c r="H1487" s="83" t="s">
        <v>2294</v>
      </c>
      <c r="I1487" s="83" t="s">
        <v>6036</v>
      </c>
      <c r="J1487" s="83" t="s">
        <v>6495</v>
      </c>
      <c r="K1487" s="43" t="s">
        <v>2583</v>
      </c>
      <c r="L1487" s="85">
        <v>7500</v>
      </c>
      <c r="M1487" s="30">
        <v>0</v>
      </c>
      <c r="N1487" s="30"/>
      <c r="O1487" s="30">
        <f t="shared" si="34"/>
        <v>7500</v>
      </c>
      <c r="P1487" s="43" t="s">
        <v>6500</v>
      </c>
    </row>
    <row r="1488" spans="2:16" x14ac:dyDescent="0.35">
      <c r="B1488" s="83" t="s">
        <v>6372</v>
      </c>
      <c r="C1488" s="90" t="s">
        <v>6402</v>
      </c>
      <c r="D1488" s="84">
        <v>45740</v>
      </c>
      <c r="E1488" s="84">
        <v>45740</v>
      </c>
      <c r="F1488" s="36">
        <v>47565</v>
      </c>
      <c r="G1488" s="64" t="s">
        <v>6</v>
      </c>
      <c r="H1488" s="83" t="s">
        <v>2294</v>
      </c>
      <c r="I1488" s="83" t="s">
        <v>6036</v>
      </c>
      <c r="J1488" s="83" t="s">
        <v>5766</v>
      </c>
      <c r="K1488" s="43" t="s">
        <v>5847</v>
      </c>
      <c r="L1488" s="85">
        <v>118200</v>
      </c>
      <c r="M1488" s="30">
        <v>0</v>
      </c>
      <c r="N1488" s="30"/>
      <c r="O1488" s="30">
        <f t="shared" si="34"/>
        <v>118200</v>
      </c>
      <c r="P1488" s="43" t="s">
        <v>6500</v>
      </c>
    </row>
    <row r="1489" spans="2:16" x14ac:dyDescent="0.35">
      <c r="B1489" s="83" t="s">
        <v>6373</v>
      </c>
      <c r="C1489" s="90" t="s">
        <v>6403</v>
      </c>
      <c r="D1489" s="84">
        <v>45740</v>
      </c>
      <c r="E1489" s="84">
        <v>45740</v>
      </c>
      <c r="F1489" s="36">
        <v>47565</v>
      </c>
      <c r="G1489" s="64" t="s">
        <v>6</v>
      </c>
      <c r="H1489" s="83" t="s">
        <v>2294</v>
      </c>
      <c r="I1489" s="83" t="s">
        <v>6036</v>
      </c>
      <c r="J1489" s="83" t="s">
        <v>6242</v>
      </c>
      <c r="K1489" s="75" t="s">
        <v>2585</v>
      </c>
      <c r="L1489" s="85">
        <v>41000</v>
      </c>
      <c r="M1489" s="30">
        <v>0</v>
      </c>
      <c r="N1489" s="30"/>
      <c r="O1489" s="30">
        <f t="shared" si="34"/>
        <v>41000</v>
      </c>
      <c r="P1489" s="43" t="s">
        <v>6500</v>
      </c>
    </row>
    <row r="1490" spans="2:16" x14ac:dyDescent="0.35">
      <c r="B1490" s="83" t="s">
        <v>6374</v>
      </c>
      <c r="C1490" s="90" t="s">
        <v>6404</v>
      </c>
      <c r="D1490" s="84">
        <v>45740</v>
      </c>
      <c r="E1490" s="84">
        <v>45740</v>
      </c>
      <c r="F1490" s="36">
        <v>46104</v>
      </c>
      <c r="G1490" s="64" t="s">
        <v>6</v>
      </c>
      <c r="H1490" s="83" t="s">
        <v>2212</v>
      </c>
      <c r="I1490" s="83" t="s">
        <v>6476</v>
      </c>
      <c r="J1490" s="83" t="s">
        <v>6035</v>
      </c>
      <c r="K1490" s="43" t="s">
        <v>5076</v>
      </c>
      <c r="L1490" s="85">
        <v>5000</v>
      </c>
      <c r="M1490" s="30">
        <v>0</v>
      </c>
      <c r="N1490" s="30"/>
      <c r="O1490" s="30">
        <f t="shared" si="34"/>
        <v>5000</v>
      </c>
      <c r="P1490" s="43" t="s">
        <v>6501</v>
      </c>
    </row>
    <row r="1491" spans="2:16" x14ac:dyDescent="0.35">
      <c r="B1491" s="83" t="s">
        <v>6375</v>
      </c>
      <c r="C1491" s="90" t="s">
        <v>6405</v>
      </c>
      <c r="D1491" s="84">
        <v>45740</v>
      </c>
      <c r="E1491" s="84">
        <v>45740</v>
      </c>
      <c r="F1491" s="36">
        <v>47565</v>
      </c>
      <c r="G1491" s="64" t="s">
        <v>6</v>
      </c>
      <c r="H1491" s="83" t="s">
        <v>1405</v>
      </c>
      <c r="I1491" s="83" t="s">
        <v>6477</v>
      </c>
      <c r="J1491" s="83" t="s">
        <v>5766</v>
      </c>
      <c r="K1491" s="43" t="s">
        <v>5847</v>
      </c>
      <c r="L1491" s="85">
        <v>135000</v>
      </c>
      <c r="M1491" s="30">
        <v>0</v>
      </c>
      <c r="N1491" s="30"/>
      <c r="O1491" s="30">
        <f t="shared" si="34"/>
        <v>135000</v>
      </c>
      <c r="P1491" s="43" t="s">
        <v>6502</v>
      </c>
    </row>
    <row r="1492" spans="2:16" x14ac:dyDescent="0.35">
      <c r="B1492" s="83" t="s">
        <v>6376</v>
      </c>
      <c r="C1492" s="90" t="s">
        <v>6406</v>
      </c>
      <c r="D1492" s="84">
        <v>45740</v>
      </c>
      <c r="E1492" s="84">
        <v>45740</v>
      </c>
      <c r="F1492" s="36">
        <v>46469</v>
      </c>
      <c r="G1492" s="64" t="s">
        <v>6</v>
      </c>
      <c r="H1492" s="83" t="s">
        <v>1405</v>
      </c>
      <c r="I1492" s="83" t="s">
        <v>6477</v>
      </c>
      <c r="J1492" s="83" t="s">
        <v>6035</v>
      </c>
      <c r="K1492" s="43" t="s">
        <v>5076</v>
      </c>
      <c r="L1492" s="85">
        <v>45000</v>
      </c>
      <c r="M1492" s="30">
        <v>0</v>
      </c>
      <c r="N1492" s="30"/>
      <c r="O1492" s="30">
        <f t="shared" si="34"/>
        <v>45000</v>
      </c>
      <c r="P1492" s="43" t="s">
        <v>6502</v>
      </c>
    </row>
    <row r="1493" spans="2:16" ht="29" x14ac:dyDescent="0.35">
      <c r="B1493" s="83" t="s">
        <v>6377</v>
      </c>
      <c r="C1493" s="90" t="s">
        <v>6407</v>
      </c>
      <c r="D1493" s="84">
        <v>45740</v>
      </c>
      <c r="E1493" s="84">
        <v>45740</v>
      </c>
      <c r="F1493" s="36">
        <v>45746</v>
      </c>
      <c r="G1493" s="64" t="s">
        <v>6</v>
      </c>
      <c r="H1493" s="83" t="s">
        <v>4109</v>
      </c>
      <c r="I1493" s="83" t="s">
        <v>6478</v>
      </c>
      <c r="J1493" s="83" t="s">
        <v>6034</v>
      </c>
      <c r="K1493" s="43" t="s">
        <v>2581</v>
      </c>
      <c r="L1493" s="85">
        <v>140000</v>
      </c>
      <c r="M1493" s="30">
        <v>0</v>
      </c>
      <c r="N1493" s="30">
        <f>66739+26801</f>
        <v>93540</v>
      </c>
      <c r="O1493" s="30">
        <f t="shared" si="34"/>
        <v>46460</v>
      </c>
      <c r="P1493" s="43"/>
    </row>
    <row r="1494" spans="2:16" x14ac:dyDescent="0.35">
      <c r="B1494" s="83" t="s">
        <v>6378</v>
      </c>
      <c r="C1494" s="90" t="s">
        <v>6408</v>
      </c>
      <c r="D1494" s="84">
        <v>45740</v>
      </c>
      <c r="E1494" s="84">
        <v>45740</v>
      </c>
      <c r="F1494" s="36">
        <v>47565</v>
      </c>
      <c r="G1494" s="64" t="s">
        <v>6</v>
      </c>
      <c r="H1494" s="83" t="s">
        <v>802</v>
      </c>
      <c r="I1494" s="35" t="s">
        <v>2816</v>
      </c>
      <c r="J1494" s="83" t="s">
        <v>6242</v>
      </c>
      <c r="K1494" s="75" t="s">
        <v>2585</v>
      </c>
      <c r="L1494" s="85">
        <v>48950</v>
      </c>
      <c r="M1494" s="30">
        <v>0</v>
      </c>
      <c r="N1494" s="30"/>
      <c r="O1494" s="30">
        <f t="shared" si="34"/>
        <v>48950</v>
      </c>
      <c r="P1494" s="43" t="s">
        <v>6503</v>
      </c>
    </row>
    <row r="1495" spans="2:16" x14ac:dyDescent="0.35">
      <c r="B1495" s="83" t="s">
        <v>6379</v>
      </c>
      <c r="C1495" s="90" t="s">
        <v>6409</v>
      </c>
      <c r="D1495" s="84">
        <v>45740</v>
      </c>
      <c r="E1495" s="84">
        <v>45740</v>
      </c>
      <c r="F1495" s="36">
        <v>45838</v>
      </c>
      <c r="G1495" s="64" t="s">
        <v>6</v>
      </c>
      <c r="H1495" s="83" t="s">
        <v>462</v>
      </c>
      <c r="I1495" s="83" t="s">
        <v>6479</v>
      </c>
      <c r="J1495" s="83" t="s">
        <v>6496</v>
      </c>
      <c r="K1495" s="43" t="s">
        <v>2584</v>
      </c>
      <c r="L1495" s="85">
        <v>1073061</v>
      </c>
      <c r="M1495" s="30">
        <v>0</v>
      </c>
      <c r="N1495" s="30"/>
      <c r="O1495" s="30">
        <f t="shared" si="34"/>
        <v>1073061</v>
      </c>
      <c r="P1495" s="43" t="s">
        <v>6504</v>
      </c>
    </row>
    <row r="1496" spans="2:16" x14ac:dyDescent="0.35">
      <c r="B1496" s="83" t="s">
        <v>6380</v>
      </c>
      <c r="C1496" s="90" t="s">
        <v>6410</v>
      </c>
      <c r="D1496" s="84">
        <v>45740</v>
      </c>
      <c r="E1496" s="84">
        <v>45740</v>
      </c>
      <c r="F1496" s="36">
        <v>46469</v>
      </c>
      <c r="G1496" s="64" t="s">
        <v>6</v>
      </c>
      <c r="H1496" s="83" t="s">
        <v>5103</v>
      </c>
      <c r="I1496" s="83" t="s">
        <v>6480</v>
      </c>
      <c r="J1496" s="83" t="s">
        <v>6495</v>
      </c>
      <c r="K1496" s="43" t="s">
        <v>2583</v>
      </c>
      <c r="L1496" s="85">
        <v>3937.5</v>
      </c>
      <c r="M1496" s="30">
        <v>0</v>
      </c>
      <c r="N1496" s="30"/>
      <c r="O1496" s="30">
        <f t="shared" si="34"/>
        <v>3937.5</v>
      </c>
      <c r="P1496" s="43" t="s">
        <v>6505</v>
      </c>
    </row>
    <row r="1497" spans="2:16" x14ac:dyDescent="0.35">
      <c r="B1497" s="83" t="s">
        <v>6381</v>
      </c>
      <c r="C1497" s="90" t="s">
        <v>6411</v>
      </c>
      <c r="D1497" s="84">
        <v>45740</v>
      </c>
      <c r="E1497" s="84">
        <v>45740</v>
      </c>
      <c r="F1497" s="36">
        <v>47565</v>
      </c>
      <c r="G1497" s="64" t="s">
        <v>6</v>
      </c>
      <c r="H1497" s="83" t="s">
        <v>5103</v>
      </c>
      <c r="I1497" s="83" t="s">
        <v>6480</v>
      </c>
      <c r="J1497" s="83" t="s">
        <v>5766</v>
      </c>
      <c r="K1497" s="43" t="s">
        <v>5847</v>
      </c>
      <c r="L1497" s="85">
        <v>181150.2</v>
      </c>
      <c r="M1497" s="30">
        <v>0</v>
      </c>
      <c r="N1497" s="30"/>
      <c r="O1497" s="30">
        <f t="shared" si="34"/>
        <v>181150.2</v>
      </c>
      <c r="P1497" s="43" t="s">
        <v>6505</v>
      </c>
    </row>
    <row r="1498" spans="2:16" x14ac:dyDescent="0.35">
      <c r="B1498" s="83" t="s">
        <v>6382</v>
      </c>
      <c r="C1498" s="90" t="s">
        <v>6412</v>
      </c>
      <c r="D1498" s="84">
        <v>45740</v>
      </c>
      <c r="E1498" s="84">
        <v>45740</v>
      </c>
      <c r="F1498" s="36">
        <v>46288</v>
      </c>
      <c r="G1498" s="64" t="s">
        <v>6</v>
      </c>
      <c r="H1498" s="83" t="s">
        <v>5103</v>
      </c>
      <c r="I1498" s="83" t="s">
        <v>6480</v>
      </c>
      <c r="J1498" s="83" t="s">
        <v>6035</v>
      </c>
      <c r="K1498" s="43" t="s">
        <v>5076</v>
      </c>
      <c r="L1498" s="85">
        <v>21000</v>
      </c>
      <c r="M1498" s="30">
        <v>0</v>
      </c>
      <c r="N1498" s="30"/>
      <c r="O1498" s="30">
        <f t="shared" si="34"/>
        <v>21000</v>
      </c>
      <c r="P1498" s="43" t="s">
        <v>6505</v>
      </c>
    </row>
    <row r="1499" spans="2:16" x14ac:dyDescent="0.35">
      <c r="B1499" s="90" t="s">
        <v>5710</v>
      </c>
      <c r="C1499" s="90" t="s">
        <v>6413</v>
      </c>
      <c r="D1499" s="84">
        <v>45741</v>
      </c>
      <c r="E1499" s="84">
        <v>45741</v>
      </c>
      <c r="F1499" s="36">
        <v>45838</v>
      </c>
      <c r="G1499" s="64" t="s">
        <v>6</v>
      </c>
      <c r="H1499" s="83" t="s">
        <v>6448</v>
      </c>
      <c r="I1499" s="83" t="s">
        <v>2654</v>
      </c>
      <c r="J1499" s="83" t="s">
        <v>4704</v>
      </c>
      <c r="K1499" s="43" t="s">
        <v>5558</v>
      </c>
      <c r="L1499" s="85">
        <v>30000</v>
      </c>
      <c r="M1499" s="30">
        <v>0</v>
      </c>
      <c r="N1499" s="30">
        <f>15000</f>
        <v>15000</v>
      </c>
      <c r="O1499" s="30">
        <f t="shared" si="34"/>
        <v>15000</v>
      </c>
      <c r="P1499" s="43"/>
    </row>
    <row r="1500" spans="2:16" x14ac:dyDescent="0.35">
      <c r="B1500" s="83" t="s">
        <v>5788</v>
      </c>
      <c r="C1500" s="90" t="s">
        <v>6414</v>
      </c>
      <c r="D1500" s="84">
        <v>45743</v>
      </c>
      <c r="E1500" s="84">
        <v>45743</v>
      </c>
      <c r="F1500" s="36">
        <v>46107</v>
      </c>
      <c r="G1500" s="64" t="s">
        <v>6</v>
      </c>
      <c r="H1500" s="83" t="s">
        <v>6449</v>
      </c>
      <c r="I1500" s="83" t="s">
        <v>6481</v>
      </c>
      <c r="J1500" s="83" t="s">
        <v>4704</v>
      </c>
      <c r="K1500" s="43" t="s">
        <v>3182</v>
      </c>
      <c r="L1500" s="85">
        <v>2150</v>
      </c>
      <c r="M1500" s="30">
        <v>0</v>
      </c>
      <c r="N1500" s="30"/>
      <c r="O1500" s="30">
        <f t="shared" si="34"/>
        <v>2150</v>
      </c>
      <c r="P1500" s="43"/>
    </row>
    <row r="1501" spans="2:16" ht="29" x14ac:dyDescent="0.35">
      <c r="B1501" s="83" t="s">
        <v>5831</v>
      </c>
      <c r="C1501" s="90" t="s">
        <v>6415</v>
      </c>
      <c r="D1501" s="84">
        <v>45743</v>
      </c>
      <c r="E1501" s="84">
        <v>45743</v>
      </c>
      <c r="F1501" s="36">
        <v>46934</v>
      </c>
      <c r="G1501" s="64" t="s">
        <v>6</v>
      </c>
      <c r="H1501" s="83" t="s">
        <v>6450</v>
      </c>
      <c r="I1501" s="83" t="s">
        <v>6482</v>
      </c>
      <c r="J1501" s="83" t="s">
        <v>5803</v>
      </c>
      <c r="K1501" s="43" t="s">
        <v>2573</v>
      </c>
      <c r="L1501" s="85">
        <v>1000</v>
      </c>
      <c r="M1501" s="30">
        <v>0</v>
      </c>
      <c r="N1501" s="30"/>
      <c r="O1501" s="30">
        <f t="shared" si="34"/>
        <v>1000</v>
      </c>
      <c r="P1501" s="43"/>
    </row>
    <row r="1502" spans="2:16" ht="29" x14ac:dyDescent="0.35">
      <c r="B1502" s="83" t="s">
        <v>5831</v>
      </c>
      <c r="C1502" s="90" t="s">
        <v>6416</v>
      </c>
      <c r="D1502" s="84">
        <v>45743</v>
      </c>
      <c r="E1502" s="84">
        <v>45743</v>
      </c>
      <c r="F1502" s="36">
        <v>46934</v>
      </c>
      <c r="G1502" s="64" t="s">
        <v>6</v>
      </c>
      <c r="H1502" s="83" t="s">
        <v>6451</v>
      </c>
      <c r="I1502" s="83" t="s">
        <v>6483</v>
      </c>
      <c r="J1502" s="83" t="s">
        <v>5803</v>
      </c>
      <c r="K1502" s="43" t="s">
        <v>2573</v>
      </c>
      <c r="L1502" s="85">
        <v>1000</v>
      </c>
      <c r="M1502" s="30">
        <v>0</v>
      </c>
      <c r="N1502" s="30"/>
      <c r="O1502" s="30">
        <f t="shared" si="34"/>
        <v>1000</v>
      </c>
      <c r="P1502" s="43"/>
    </row>
    <row r="1503" spans="2:16" x14ac:dyDescent="0.35">
      <c r="B1503" s="83" t="s">
        <v>6383</v>
      </c>
      <c r="C1503" s="90" t="s">
        <v>6417</v>
      </c>
      <c r="D1503" s="84">
        <v>45747</v>
      </c>
      <c r="E1503" s="84">
        <v>45747</v>
      </c>
      <c r="F1503" s="36">
        <v>47572</v>
      </c>
      <c r="G1503" s="64" t="s">
        <v>6</v>
      </c>
      <c r="H1503" s="83" t="s">
        <v>432</v>
      </c>
      <c r="I1503" s="83" t="s">
        <v>6484</v>
      </c>
      <c r="J1503" s="83" t="s">
        <v>6495</v>
      </c>
      <c r="K1503" s="43" t="s">
        <v>2583</v>
      </c>
      <c r="L1503" s="85">
        <v>240000</v>
      </c>
      <c r="M1503" s="30">
        <v>0</v>
      </c>
      <c r="N1503" s="30"/>
      <c r="O1503" s="30">
        <f t="shared" si="34"/>
        <v>240000</v>
      </c>
      <c r="P1503" s="43" t="s">
        <v>6506</v>
      </c>
    </row>
    <row r="1504" spans="2:16" x14ac:dyDescent="0.35">
      <c r="B1504" s="83" t="s">
        <v>6384</v>
      </c>
      <c r="C1504" s="90" t="s">
        <v>6418</v>
      </c>
      <c r="D1504" s="84">
        <v>45747</v>
      </c>
      <c r="E1504" s="84">
        <v>45747</v>
      </c>
      <c r="F1504" s="36">
        <v>47572</v>
      </c>
      <c r="G1504" s="64" t="s">
        <v>6</v>
      </c>
      <c r="H1504" s="83" t="s">
        <v>432</v>
      </c>
      <c r="I1504" s="83" t="s">
        <v>6484</v>
      </c>
      <c r="J1504" s="83" t="s">
        <v>5766</v>
      </c>
      <c r="K1504" s="43" t="s">
        <v>5847</v>
      </c>
      <c r="L1504" s="85">
        <v>582600</v>
      </c>
      <c r="M1504" s="30">
        <v>0</v>
      </c>
      <c r="N1504" s="30"/>
      <c r="O1504" s="30">
        <f t="shared" si="34"/>
        <v>582600</v>
      </c>
      <c r="P1504" s="43" t="s">
        <v>6506</v>
      </c>
    </row>
    <row r="1505" spans="2:16" x14ac:dyDescent="0.35">
      <c r="B1505" s="83" t="s">
        <v>6385</v>
      </c>
      <c r="C1505" s="90" t="s">
        <v>6419</v>
      </c>
      <c r="D1505" s="84">
        <v>45747</v>
      </c>
      <c r="E1505" s="84">
        <v>45747</v>
      </c>
      <c r="F1505" s="36">
        <v>47572</v>
      </c>
      <c r="G1505" s="64" t="s">
        <v>6</v>
      </c>
      <c r="H1505" s="83" t="s">
        <v>6452</v>
      </c>
      <c r="I1505" s="83" t="s">
        <v>6036</v>
      </c>
      <c r="J1505" s="83" t="s">
        <v>5766</v>
      </c>
      <c r="K1505" s="43" t="s">
        <v>5847</v>
      </c>
      <c r="L1505" s="85">
        <v>17108</v>
      </c>
      <c r="M1505" s="30">
        <v>0</v>
      </c>
      <c r="N1505" s="30"/>
      <c r="O1505" s="30">
        <f t="shared" si="34"/>
        <v>17108</v>
      </c>
      <c r="P1505" s="43" t="s">
        <v>6507</v>
      </c>
    </row>
    <row r="1506" spans="2:16" x14ac:dyDescent="0.35">
      <c r="B1506" s="83" t="s">
        <v>6088</v>
      </c>
      <c r="C1506" s="90" t="s">
        <v>6420</v>
      </c>
      <c r="D1506" s="84">
        <v>45748</v>
      </c>
      <c r="E1506" s="84">
        <v>45748</v>
      </c>
      <c r="F1506" s="36">
        <v>46752</v>
      </c>
      <c r="G1506" s="64" t="s">
        <v>6</v>
      </c>
      <c r="H1506" s="83" t="s">
        <v>6453</v>
      </c>
      <c r="I1506" s="83" t="s">
        <v>6485</v>
      </c>
      <c r="J1506" s="83" t="s">
        <v>5236</v>
      </c>
      <c r="K1506" s="43" t="s">
        <v>3181</v>
      </c>
      <c r="L1506" s="85">
        <v>30000</v>
      </c>
      <c r="M1506" s="30">
        <v>0</v>
      </c>
      <c r="N1506" s="30">
        <f>5000</f>
        <v>5000</v>
      </c>
      <c r="O1506" s="30">
        <f t="shared" si="34"/>
        <v>25000</v>
      </c>
      <c r="P1506" s="43"/>
    </row>
    <row r="1507" spans="2:16" x14ac:dyDescent="0.35">
      <c r="B1507" s="83" t="s">
        <v>6386</v>
      </c>
      <c r="C1507" s="90" t="s">
        <v>6421</v>
      </c>
      <c r="D1507" s="84">
        <v>45748</v>
      </c>
      <c r="E1507" s="84">
        <v>45748</v>
      </c>
      <c r="F1507" s="36">
        <v>46568</v>
      </c>
      <c r="G1507" s="64" t="s">
        <v>6</v>
      </c>
      <c r="H1507" s="83" t="s">
        <v>6454</v>
      </c>
      <c r="I1507" s="83" t="s">
        <v>2654</v>
      </c>
      <c r="J1507" s="83" t="s">
        <v>6035</v>
      </c>
      <c r="K1507" s="43" t="s">
        <v>5076</v>
      </c>
      <c r="L1507" s="85">
        <v>25000</v>
      </c>
      <c r="M1507" s="30">
        <v>0</v>
      </c>
      <c r="N1507" s="30"/>
      <c r="O1507" s="30">
        <f t="shared" si="34"/>
        <v>25000</v>
      </c>
      <c r="P1507" s="43" t="s">
        <v>6508</v>
      </c>
    </row>
    <row r="1508" spans="2:16" x14ac:dyDescent="0.35">
      <c r="B1508" s="83" t="s">
        <v>5788</v>
      </c>
      <c r="C1508" s="90" t="s">
        <v>6422</v>
      </c>
      <c r="D1508" s="84">
        <v>45754</v>
      </c>
      <c r="E1508" s="84">
        <v>45754</v>
      </c>
      <c r="F1508" s="36">
        <v>46118</v>
      </c>
      <c r="G1508" s="64" t="s">
        <v>6</v>
      </c>
      <c r="H1508" s="83" t="s">
        <v>6455</v>
      </c>
      <c r="I1508" s="83" t="s">
        <v>6486</v>
      </c>
      <c r="J1508" s="83" t="s">
        <v>4704</v>
      </c>
      <c r="K1508" s="43" t="s">
        <v>3182</v>
      </c>
      <c r="L1508" s="85">
        <v>10000</v>
      </c>
      <c r="M1508" s="30">
        <v>0</v>
      </c>
      <c r="N1508" s="30"/>
      <c r="O1508" s="30">
        <f t="shared" si="34"/>
        <v>10000</v>
      </c>
      <c r="P1508" s="43"/>
    </row>
    <row r="1509" spans="2:16" x14ac:dyDescent="0.35">
      <c r="B1509" s="83" t="s">
        <v>5788</v>
      </c>
      <c r="C1509" s="90" t="s">
        <v>6423</v>
      </c>
      <c r="D1509" s="84">
        <v>45758</v>
      </c>
      <c r="E1509" s="84">
        <v>45758</v>
      </c>
      <c r="F1509" s="36">
        <v>46305</v>
      </c>
      <c r="G1509" s="64" t="s">
        <v>6</v>
      </c>
      <c r="H1509" s="83" t="s">
        <v>6456</v>
      </c>
      <c r="I1509" s="83" t="s">
        <v>6487</v>
      </c>
      <c r="J1509" s="83" t="s">
        <v>4704</v>
      </c>
      <c r="K1509" s="43" t="s">
        <v>3182</v>
      </c>
      <c r="L1509" s="85">
        <v>5000</v>
      </c>
      <c r="M1509" s="30">
        <v>0</v>
      </c>
      <c r="N1509" s="30"/>
      <c r="O1509" s="30">
        <f t="shared" si="34"/>
        <v>5000</v>
      </c>
      <c r="P1509" s="43"/>
    </row>
    <row r="1510" spans="2:16" x14ac:dyDescent="0.35">
      <c r="B1510" s="83" t="s">
        <v>5788</v>
      </c>
      <c r="C1510" s="90" t="s">
        <v>6424</v>
      </c>
      <c r="D1510" s="84">
        <v>45758</v>
      </c>
      <c r="E1510" s="84">
        <v>45758</v>
      </c>
      <c r="F1510" s="36">
        <v>46122</v>
      </c>
      <c r="G1510" s="64" t="s">
        <v>6</v>
      </c>
      <c r="H1510" s="83" t="s">
        <v>6457</v>
      </c>
      <c r="I1510" s="83" t="s">
        <v>6488</v>
      </c>
      <c r="J1510" s="83" t="s">
        <v>4704</v>
      </c>
      <c r="K1510" s="43" t="s">
        <v>3182</v>
      </c>
      <c r="L1510" s="85">
        <v>10000</v>
      </c>
      <c r="M1510" s="30">
        <v>0</v>
      </c>
      <c r="N1510" s="30"/>
      <c r="O1510" s="30">
        <f t="shared" si="34"/>
        <v>10000</v>
      </c>
      <c r="P1510" s="43"/>
    </row>
    <row r="1511" spans="2:16" x14ac:dyDescent="0.35">
      <c r="B1511" s="83" t="s">
        <v>5788</v>
      </c>
      <c r="C1511" s="90" t="s">
        <v>6425</v>
      </c>
      <c r="D1511" s="84">
        <v>45759</v>
      </c>
      <c r="E1511" s="84">
        <v>45759</v>
      </c>
      <c r="F1511" s="36">
        <v>46123</v>
      </c>
      <c r="G1511" s="64" t="s">
        <v>6</v>
      </c>
      <c r="H1511" s="83" t="s">
        <v>6458</v>
      </c>
      <c r="I1511" s="83" t="s">
        <v>5770</v>
      </c>
      <c r="J1511" s="83" t="s">
        <v>4704</v>
      </c>
      <c r="K1511" s="43" t="s">
        <v>3182</v>
      </c>
      <c r="L1511" s="85">
        <v>10000</v>
      </c>
      <c r="M1511" s="30">
        <v>0</v>
      </c>
      <c r="N1511" s="30"/>
      <c r="O1511" s="30">
        <f t="shared" si="34"/>
        <v>10000</v>
      </c>
      <c r="P1511" s="43"/>
    </row>
    <row r="1512" spans="2:16" x14ac:dyDescent="0.35">
      <c r="B1512" s="83" t="s">
        <v>6088</v>
      </c>
      <c r="C1512" s="90" t="s">
        <v>6426</v>
      </c>
      <c r="D1512" s="84">
        <v>45759</v>
      </c>
      <c r="E1512" s="84">
        <v>45759</v>
      </c>
      <c r="F1512" s="36">
        <v>46387</v>
      </c>
      <c r="G1512" s="64" t="s">
        <v>6</v>
      </c>
      <c r="H1512" s="83" t="s">
        <v>6459</v>
      </c>
      <c r="I1512" s="83" t="s">
        <v>6489</v>
      </c>
      <c r="J1512" s="83" t="s">
        <v>5236</v>
      </c>
      <c r="K1512" s="43" t="s">
        <v>3181</v>
      </c>
      <c r="L1512" s="85">
        <v>20000</v>
      </c>
      <c r="M1512" s="30">
        <v>0</v>
      </c>
      <c r="N1512" s="30">
        <f>5000</f>
        <v>5000</v>
      </c>
      <c r="O1512" s="30">
        <f t="shared" si="34"/>
        <v>15000</v>
      </c>
      <c r="P1512" s="43"/>
    </row>
    <row r="1513" spans="2:16" ht="29" x14ac:dyDescent="0.35">
      <c r="B1513" s="83" t="s">
        <v>5831</v>
      </c>
      <c r="C1513" s="90" t="s">
        <v>6427</v>
      </c>
      <c r="D1513" s="84">
        <v>45760</v>
      </c>
      <c r="E1513" s="84">
        <v>45760</v>
      </c>
      <c r="F1513" s="36">
        <v>46934</v>
      </c>
      <c r="G1513" s="64" t="s">
        <v>6</v>
      </c>
      <c r="H1513" s="83" t="s">
        <v>6460</v>
      </c>
      <c r="I1513" s="83" t="s">
        <v>6486</v>
      </c>
      <c r="J1513" s="83" t="s">
        <v>5803</v>
      </c>
      <c r="K1513" s="43" t="s">
        <v>2573</v>
      </c>
      <c r="L1513" s="85">
        <v>600</v>
      </c>
      <c r="M1513" s="30">
        <v>0</v>
      </c>
      <c r="N1513" s="30"/>
      <c r="O1513" s="30">
        <f t="shared" si="34"/>
        <v>600</v>
      </c>
      <c r="P1513" s="43"/>
    </row>
    <row r="1514" spans="2:16" ht="29" x14ac:dyDescent="0.35">
      <c r="B1514" s="83" t="s">
        <v>5788</v>
      </c>
      <c r="C1514" s="90" t="s">
        <v>6428</v>
      </c>
      <c r="D1514" s="84">
        <v>45760</v>
      </c>
      <c r="E1514" s="84">
        <v>45760</v>
      </c>
      <c r="F1514" s="36">
        <v>46124</v>
      </c>
      <c r="G1514" s="64" t="s">
        <v>6</v>
      </c>
      <c r="H1514" s="83" t="s">
        <v>6461</v>
      </c>
      <c r="I1514" s="83" t="s">
        <v>6487</v>
      </c>
      <c r="J1514" s="83" t="s">
        <v>4704</v>
      </c>
      <c r="K1514" s="43" t="s">
        <v>3182</v>
      </c>
      <c r="L1514" s="85">
        <v>7380</v>
      </c>
      <c r="M1514" s="30">
        <v>0</v>
      </c>
      <c r="N1514" s="30"/>
      <c r="O1514" s="30">
        <f t="shared" si="34"/>
        <v>7380</v>
      </c>
      <c r="P1514" s="43"/>
    </row>
    <row r="1515" spans="2:16" ht="29" x14ac:dyDescent="0.35">
      <c r="B1515" s="83" t="s">
        <v>5788</v>
      </c>
      <c r="C1515" s="90" t="s">
        <v>6429</v>
      </c>
      <c r="D1515" s="84">
        <v>45760</v>
      </c>
      <c r="E1515" s="84">
        <v>45760</v>
      </c>
      <c r="F1515" s="36">
        <v>46124</v>
      </c>
      <c r="G1515" s="64" t="s">
        <v>6</v>
      </c>
      <c r="H1515" s="83" t="s">
        <v>6462</v>
      </c>
      <c r="I1515" s="83" t="s">
        <v>6490</v>
      </c>
      <c r="J1515" s="83" t="s">
        <v>4704</v>
      </c>
      <c r="K1515" s="43" t="s">
        <v>3182</v>
      </c>
      <c r="L1515" s="85">
        <v>1565</v>
      </c>
      <c r="M1515" s="30">
        <v>0</v>
      </c>
      <c r="N1515" s="30"/>
      <c r="O1515" s="30">
        <f t="shared" si="34"/>
        <v>1565</v>
      </c>
      <c r="P1515" s="43"/>
    </row>
    <row r="1516" spans="2:16" x14ac:dyDescent="0.35">
      <c r="B1516" s="83" t="s">
        <v>5788</v>
      </c>
      <c r="C1516" s="90" t="s">
        <v>6430</v>
      </c>
      <c r="D1516" s="84">
        <v>45760</v>
      </c>
      <c r="E1516" s="84">
        <v>45760</v>
      </c>
      <c r="F1516" s="36">
        <v>46124</v>
      </c>
      <c r="G1516" s="64" t="s">
        <v>6</v>
      </c>
      <c r="H1516" s="83" t="s">
        <v>6463</v>
      </c>
      <c r="I1516" s="83" t="s">
        <v>6491</v>
      </c>
      <c r="J1516" s="83" t="s">
        <v>4704</v>
      </c>
      <c r="K1516" s="43" t="s">
        <v>3182</v>
      </c>
      <c r="L1516" s="85">
        <v>10000</v>
      </c>
      <c r="M1516" s="30">
        <v>0</v>
      </c>
      <c r="N1516" s="30"/>
      <c r="O1516" s="30">
        <f t="shared" si="34"/>
        <v>10000</v>
      </c>
      <c r="P1516" s="43"/>
    </row>
    <row r="1517" spans="2:16" x14ac:dyDescent="0.35">
      <c r="B1517" s="83" t="s">
        <v>5788</v>
      </c>
      <c r="C1517" s="90" t="s">
        <v>6431</v>
      </c>
      <c r="D1517" s="84">
        <v>45760</v>
      </c>
      <c r="E1517" s="84">
        <v>45760</v>
      </c>
      <c r="F1517" s="36">
        <v>46124</v>
      </c>
      <c r="G1517" s="64" t="s">
        <v>6</v>
      </c>
      <c r="H1517" s="83" t="s">
        <v>6464</v>
      </c>
      <c r="I1517" s="83" t="s">
        <v>6491</v>
      </c>
      <c r="J1517" s="83" t="s">
        <v>4704</v>
      </c>
      <c r="K1517" s="43" t="s">
        <v>3182</v>
      </c>
      <c r="L1517" s="85">
        <v>10000</v>
      </c>
      <c r="M1517" s="30">
        <v>0</v>
      </c>
      <c r="N1517" s="30"/>
      <c r="O1517" s="30">
        <f t="shared" si="34"/>
        <v>10000</v>
      </c>
      <c r="P1517" s="43"/>
    </row>
    <row r="1518" spans="2:16" ht="29" x14ac:dyDescent="0.35">
      <c r="B1518" s="83" t="s">
        <v>5831</v>
      </c>
      <c r="C1518" s="90" t="s">
        <v>6432</v>
      </c>
      <c r="D1518" s="84">
        <v>45760</v>
      </c>
      <c r="E1518" s="84">
        <v>45760</v>
      </c>
      <c r="F1518" s="36">
        <v>46934</v>
      </c>
      <c r="G1518" s="64" t="s">
        <v>6</v>
      </c>
      <c r="H1518" s="83" t="s">
        <v>6465</v>
      </c>
      <c r="I1518" s="83" t="s">
        <v>2654</v>
      </c>
      <c r="J1518" s="83" t="s">
        <v>5803</v>
      </c>
      <c r="K1518" s="43" t="s">
        <v>2573</v>
      </c>
      <c r="L1518" s="85">
        <v>1000</v>
      </c>
      <c r="M1518" s="30">
        <v>0</v>
      </c>
      <c r="N1518" s="30"/>
      <c r="O1518" s="30">
        <f t="shared" si="34"/>
        <v>1000</v>
      </c>
      <c r="P1518" s="43"/>
    </row>
    <row r="1519" spans="2:16" x14ac:dyDescent="0.35">
      <c r="B1519" s="83" t="s">
        <v>5788</v>
      </c>
      <c r="C1519" s="90" t="s">
        <v>6433</v>
      </c>
      <c r="D1519" s="84">
        <v>45760</v>
      </c>
      <c r="E1519" s="84">
        <v>45760</v>
      </c>
      <c r="F1519" s="36">
        <v>46307</v>
      </c>
      <c r="G1519" s="64" t="s">
        <v>6</v>
      </c>
      <c r="H1519" s="83" t="s">
        <v>6466</v>
      </c>
      <c r="I1519" s="83" t="s">
        <v>2654</v>
      </c>
      <c r="J1519" s="83" t="s">
        <v>4704</v>
      </c>
      <c r="K1519" s="43" t="s">
        <v>3182</v>
      </c>
      <c r="L1519" s="85">
        <v>5000</v>
      </c>
      <c r="M1519" s="30">
        <v>0</v>
      </c>
      <c r="N1519" s="30"/>
      <c r="O1519" s="30">
        <f t="shared" si="34"/>
        <v>5000</v>
      </c>
      <c r="P1519" s="43"/>
    </row>
    <row r="1520" spans="2:16" x14ac:dyDescent="0.35">
      <c r="B1520" s="83" t="s">
        <v>5788</v>
      </c>
      <c r="C1520" s="90" t="s">
        <v>6434</v>
      </c>
      <c r="D1520" s="84">
        <v>45760</v>
      </c>
      <c r="E1520" s="84">
        <v>45760</v>
      </c>
      <c r="F1520" s="36">
        <v>46124</v>
      </c>
      <c r="G1520" s="64" t="s">
        <v>6</v>
      </c>
      <c r="H1520" s="83" t="s">
        <v>6467</v>
      </c>
      <c r="I1520" s="83" t="s">
        <v>6481</v>
      </c>
      <c r="J1520" s="83" t="s">
        <v>4704</v>
      </c>
      <c r="K1520" s="43" t="s">
        <v>3182</v>
      </c>
      <c r="L1520" s="85">
        <v>10000</v>
      </c>
      <c r="M1520" s="30">
        <v>0</v>
      </c>
      <c r="N1520" s="30"/>
      <c r="O1520" s="30">
        <f t="shared" si="34"/>
        <v>10000</v>
      </c>
      <c r="P1520" s="43"/>
    </row>
    <row r="1521" spans="2:16" x14ac:dyDescent="0.35">
      <c r="B1521" s="83" t="s">
        <v>6088</v>
      </c>
      <c r="C1521" s="90" t="s">
        <v>6435</v>
      </c>
      <c r="D1521" s="84">
        <v>45760</v>
      </c>
      <c r="E1521" s="84">
        <v>45760</v>
      </c>
      <c r="F1521" s="36">
        <v>46387</v>
      </c>
      <c r="G1521" s="64" t="s">
        <v>6</v>
      </c>
      <c r="H1521" s="83" t="s">
        <v>6468</v>
      </c>
      <c r="I1521" s="83" t="s">
        <v>5770</v>
      </c>
      <c r="J1521" s="83" t="s">
        <v>5236</v>
      </c>
      <c r="K1521" s="43" t="s">
        <v>3181</v>
      </c>
      <c r="L1521" s="85">
        <v>20000</v>
      </c>
      <c r="M1521" s="30">
        <v>0</v>
      </c>
      <c r="N1521" s="30">
        <f>5000</f>
        <v>5000</v>
      </c>
      <c r="O1521" s="30">
        <f t="shared" si="34"/>
        <v>15000</v>
      </c>
      <c r="P1521" s="43"/>
    </row>
    <row r="1522" spans="2:16" x14ac:dyDescent="0.35">
      <c r="B1522" s="83" t="s">
        <v>6387</v>
      </c>
      <c r="C1522" s="90" t="s">
        <v>6436</v>
      </c>
      <c r="D1522" s="84">
        <v>45761</v>
      </c>
      <c r="E1522" s="84">
        <v>45761</v>
      </c>
      <c r="F1522" s="36">
        <v>47586</v>
      </c>
      <c r="G1522" s="64" t="s">
        <v>6</v>
      </c>
      <c r="H1522" s="83" t="s">
        <v>2212</v>
      </c>
      <c r="I1522" s="83" t="s">
        <v>6476</v>
      </c>
      <c r="J1522" s="83" t="s">
        <v>6495</v>
      </c>
      <c r="K1522" s="43" t="s">
        <v>2583</v>
      </c>
      <c r="L1522" s="85">
        <v>4500</v>
      </c>
      <c r="M1522" s="30">
        <v>0</v>
      </c>
      <c r="N1522" s="30"/>
      <c r="O1522" s="30">
        <f t="shared" si="34"/>
        <v>4500</v>
      </c>
      <c r="P1522" s="43" t="s">
        <v>6501</v>
      </c>
    </row>
    <row r="1523" spans="2:16" x14ac:dyDescent="0.35">
      <c r="B1523" s="83" t="s">
        <v>6388</v>
      </c>
      <c r="C1523" s="90" t="s">
        <v>6437</v>
      </c>
      <c r="D1523" s="84">
        <v>45761</v>
      </c>
      <c r="E1523" s="84">
        <v>45761</v>
      </c>
      <c r="F1523" s="36">
        <v>47586</v>
      </c>
      <c r="G1523" s="64" t="s">
        <v>6</v>
      </c>
      <c r="H1523" s="83" t="s">
        <v>2212</v>
      </c>
      <c r="I1523" s="83" t="s">
        <v>6476</v>
      </c>
      <c r="J1523" s="83" t="s">
        <v>5766</v>
      </c>
      <c r="K1523" s="43" t="s">
        <v>5847</v>
      </c>
      <c r="L1523" s="85">
        <v>18000</v>
      </c>
      <c r="M1523" s="30">
        <v>0</v>
      </c>
      <c r="N1523" s="30"/>
      <c r="O1523" s="30">
        <f t="shared" si="34"/>
        <v>18000</v>
      </c>
      <c r="P1523" s="43" t="s">
        <v>6501</v>
      </c>
    </row>
    <row r="1524" spans="2:16" x14ac:dyDescent="0.35">
      <c r="B1524" s="83" t="s">
        <v>6389</v>
      </c>
      <c r="C1524" s="90" t="s">
        <v>6438</v>
      </c>
      <c r="D1524" s="84">
        <v>45761</v>
      </c>
      <c r="E1524" s="84">
        <v>45761</v>
      </c>
      <c r="F1524" s="36">
        <v>47586</v>
      </c>
      <c r="G1524" s="64" t="s">
        <v>6</v>
      </c>
      <c r="H1524" s="83" t="s">
        <v>2353</v>
      </c>
      <c r="I1524" s="83" t="s">
        <v>6492</v>
      </c>
      <c r="J1524" s="38" t="s">
        <v>4495</v>
      </c>
      <c r="K1524" s="43" t="s">
        <v>5847</v>
      </c>
      <c r="L1524" s="85">
        <v>751403</v>
      </c>
      <c r="M1524" s="30">
        <v>0</v>
      </c>
      <c r="N1524" s="30"/>
      <c r="O1524" s="30">
        <f t="shared" si="34"/>
        <v>751403</v>
      </c>
      <c r="P1524" s="43" t="s">
        <v>6509</v>
      </c>
    </row>
    <row r="1525" spans="2:16" x14ac:dyDescent="0.35">
      <c r="B1525" s="83" t="s">
        <v>6390</v>
      </c>
      <c r="C1525" s="90" t="s">
        <v>6439</v>
      </c>
      <c r="D1525" s="84">
        <v>45761</v>
      </c>
      <c r="E1525" s="84">
        <v>45761</v>
      </c>
      <c r="F1525" s="36">
        <v>47586</v>
      </c>
      <c r="G1525" s="64" t="s">
        <v>6</v>
      </c>
      <c r="H1525" s="83" t="s">
        <v>6445</v>
      </c>
      <c r="I1525" s="83" t="s">
        <v>6472</v>
      </c>
      <c r="J1525" s="83" t="s">
        <v>6495</v>
      </c>
      <c r="K1525" s="43" t="s">
        <v>2583</v>
      </c>
      <c r="L1525" s="85">
        <v>64000</v>
      </c>
      <c r="M1525" s="30">
        <v>0</v>
      </c>
      <c r="N1525" s="30"/>
      <c r="O1525" s="30">
        <f t="shared" si="34"/>
        <v>64000</v>
      </c>
      <c r="P1525" s="43" t="s">
        <v>6497</v>
      </c>
    </row>
    <row r="1526" spans="2:16" ht="29" x14ac:dyDescent="0.35">
      <c r="B1526" s="83" t="s">
        <v>6391</v>
      </c>
      <c r="C1526" s="90" t="s">
        <v>6440</v>
      </c>
      <c r="D1526" s="84">
        <v>45761</v>
      </c>
      <c r="E1526" s="84">
        <v>45761</v>
      </c>
      <c r="F1526" s="36">
        <v>47586</v>
      </c>
      <c r="G1526" s="64" t="s">
        <v>6</v>
      </c>
      <c r="H1526" s="83" t="s">
        <v>6469</v>
      </c>
      <c r="I1526" s="83" t="s">
        <v>6493</v>
      </c>
      <c r="J1526" s="83" t="s">
        <v>5766</v>
      </c>
      <c r="K1526" s="43" t="s">
        <v>5847</v>
      </c>
      <c r="L1526" s="85">
        <v>420000</v>
      </c>
      <c r="M1526" s="30">
        <v>0</v>
      </c>
      <c r="N1526" s="30"/>
      <c r="O1526" s="30">
        <f t="shared" si="34"/>
        <v>420000</v>
      </c>
      <c r="P1526" s="43" t="s">
        <v>6510</v>
      </c>
    </row>
    <row r="1527" spans="2:16" ht="29" x14ac:dyDescent="0.35">
      <c r="B1527" s="83" t="s">
        <v>6392</v>
      </c>
      <c r="C1527" s="90" t="s">
        <v>6441</v>
      </c>
      <c r="D1527" s="84">
        <v>45761</v>
      </c>
      <c r="E1527" s="84">
        <v>45761</v>
      </c>
      <c r="F1527" s="36">
        <v>46125</v>
      </c>
      <c r="G1527" s="64" t="s">
        <v>6</v>
      </c>
      <c r="H1527" s="83" t="s">
        <v>6469</v>
      </c>
      <c r="I1527" s="83" t="s">
        <v>6493</v>
      </c>
      <c r="J1527" s="83" t="s">
        <v>6035</v>
      </c>
      <c r="K1527" s="43" t="s">
        <v>5076</v>
      </c>
      <c r="L1527" s="85">
        <v>50000</v>
      </c>
      <c r="M1527" s="30">
        <v>0</v>
      </c>
      <c r="N1527" s="30"/>
      <c r="O1527" s="30">
        <f t="shared" si="34"/>
        <v>50000</v>
      </c>
      <c r="P1527" s="43" t="s">
        <v>6510</v>
      </c>
    </row>
    <row r="1528" spans="2:16" ht="29" x14ac:dyDescent="0.35">
      <c r="B1528" s="83" t="s">
        <v>6393</v>
      </c>
      <c r="C1528" s="90" t="s">
        <v>6442</v>
      </c>
      <c r="D1528" s="84">
        <v>45761</v>
      </c>
      <c r="E1528" s="84">
        <v>45761</v>
      </c>
      <c r="F1528" s="36">
        <v>46856</v>
      </c>
      <c r="G1528" s="64" t="s">
        <v>6</v>
      </c>
      <c r="H1528" s="83" t="s">
        <v>6469</v>
      </c>
      <c r="I1528" s="83" t="s">
        <v>6493</v>
      </c>
      <c r="J1528" s="83" t="s">
        <v>6495</v>
      </c>
      <c r="K1528" s="43" t="s">
        <v>2583</v>
      </c>
      <c r="L1528" s="85">
        <v>30000</v>
      </c>
      <c r="M1528" s="30">
        <v>0</v>
      </c>
      <c r="N1528" s="30"/>
      <c r="O1528" s="30">
        <f t="shared" si="34"/>
        <v>30000</v>
      </c>
      <c r="P1528" s="43" t="s">
        <v>6510</v>
      </c>
    </row>
    <row r="1529" spans="2:16" x14ac:dyDescent="0.35">
      <c r="B1529" s="83" t="s">
        <v>6394</v>
      </c>
      <c r="C1529" s="90" t="s">
        <v>6443</v>
      </c>
      <c r="D1529" s="84">
        <v>45761</v>
      </c>
      <c r="E1529" s="84">
        <v>45761</v>
      </c>
      <c r="F1529" s="36">
        <v>47586</v>
      </c>
      <c r="G1529" s="64" t="s">
        <v>6</v>
      </c>
      <c r="H1529" s="83" t="s">
        <v>6470</v>
      </c>
      <c r="I1529" s="83" t="s">
        <v>6489</v>
      </c>
      <c r="J1529" s="83" t="s">
        <v>5766</v>
      </c>
      <c r="K1529" s="43" t="s">
        <v>5847</v>
      </c>
      <c r="L1529" s="85">
        <v>1350000</v>
      </c>
      <c r="M1529" s="30">
        <v>0</v>
      </c>
      <c r="N1529" s="30"/>
      <c r="O1529" s="30">
        <f t="shared" si="34"/>
        <v>1350000</v>
      </c>
      <c r="P1529" s="43" t="s">
        <v>6511</v>
      </c>
    </row>
    <row r="1530" spans="2:16" x14ac:dyDescent="0.35">
      <c r="B1530" s="83" t="s">
        <v>6395</v>
      </c>
      <c r="C1530" s="90" t="s">
        <v>6444</v>
      </c>
      <c r="D1530" s="84">
        <v>45761</v>
      </c>
      <c r="E1530" s="84">
        <v>45761</v>
      </c>
      <c r="F1530" s="36">
        <v>47299</v>
      </c>
      <c r="G1530" s="64" t="s">
        <v>6</v>
      </c>
      <c r="H1530" s="83" t="s">
        <v>6471</v>
      </c>
      <c r="I1530" s="83" t="s">
        <v>6494</v>
      </c>
      <c r="J1530" s="83" t="s">
        <v>5766</v>
      </c>
      <c r="K1530" s="43" t="s">
        <v>5847</v>
      </c>
      <c r="L1530" s="85">
        <v>30165.5</v>
      </c>
      <c r="M1530" s="30">
        <v>0</v>
      </c>
      <c r="N1530" s="30"/>
      <c r="O1530" s="30">
        <f t="shared" si="34"/>
        <v>30165.5</v>
      </c>
      <c r="P1530" s="43" t="s">
        <v>6512</v>
      </c>
    </row>
    <row r="1531" spans="2:16" ht="29" x14ac:dyDescent="0.35">
      <c r="B1531" s="35" t="s">
        <v>4089</v>
      </c>
      <c r="C1531" s="80" t="s">
        <v>6517</v>
      </c>
      <c r="D1531" s="36">
        <v>45222</v>
      </c>
      <c r="E1531" s="36">
        <v>45473</v>
      </c>
      <c r="F1531" s="36">
        <v>45222</v>
      </c>
      <c r="G1531" s="64" t="s">
        <v>5683</v>
      </c>
      <c r="H1531" s="35" t="s">
        <v>5194</v>
      </c>
      <c r="I1531" s="35" t="s">
        <v>2515</v>
      </c>
      <c r="J1531" s="43" t="s">
        <v>5269</v>
      </c>
      <c r="K1531" s="43" t="s">
        <v>2573</v>
      </c>
      <c r="L1531" s="30">
        <v>1440</v>
      </c>
      <c r="M1531" s="30">
        <v>40</v>
      </c>
      <c r="N1531" s="30">
        <v>1400</v>
      </c>
      <c r="O1531" s="30">
        <f t="shared" si="34"/>
        <v>0</v>
      </c>
      <c r="P1531" s="43" t="s">
        <v>6515</v>
      </c>
    </row>
    <row r="1532" spans="2:16" x14ac:dyDescent="0.35">
      <c r="B1532" s="83" t="s">
        <v>5648</v>
      </c>
      <c r="C1532" s="90" t="s">
        <v>6528</v>
      </c>
      <c r="D1532" s="91">
        <v>45584</v>
      </c>
      <c r="E1532" s="36">
        <v>45584</v>
      </c>
      <c r="F1532" s="36">
        <v>45657</v>
      </c>
      <c r="G1532" s="64" t="s">
        <v>6</v>
      </c>
      <c r="H1532" s="83" t="s">
        <v>6529</v>
      </c>
      <c r="I1532" s="83" t="s">
        <v>2474</v>
      </c>
      <c r="J1532" s="43" t="s">
        <v>6530</v>
      </c>
      <c r="K1532" s="83" t="s">
        <v>4704</v>
      </c>
      <c r="L1532" s="92">
        <v>25000</v>
      </c>
      <c r="M1532" s="30">
        <v>0</v>
      </c>
      <c r="N1532" s="30">
        <v>25000</v>
      </c>
      <c r="O1532" s="30">
        <f t="shared" si="34"/>
        <v>0</v>
      </c>
      <c r="P1532" s="44" t="s">
        <v>2977</v>
      </c>
    </row>
    <row r="1533" spans="2:16" x14ac:dyDescent="0.35">
      <c r="B1533" s="35" t="s">
        <v>6532</v>
      </c>
      <c r="C1533" s="80" t="s">
        <v>6533</v>
      </c>
      <c r="D1533" s="36">
        <v>45534</v>
      </c>
      <c r="E1533" s="36">
        <v>45534</v>
      </c>
      <c r="F1533" s="36">
        <v>45838</v>
      </c>
      <c r="G1533" s="64" t="s">
        <v>6</v>
      </c>
      <c r="H1533" s="43" t="s">
        <v>6534</v>
      </c>
      <c r="I1533" s="35" t="s">
        <v>2654</v>
      </c>
      <c r="J1533" s="43" t="s">
        <v>4704</v>
      </c>
      <c r="K1533" s="43" t="s">
        <v>4704</v>
      </c>
      <c r="L1533" s="30">
        <v>933200</v>
      </c>
      <c r="M1533" s="30"/>
      <c r="N1533" s="30">
        <f>72280+179632</f>
        <v>251912</v>
      </c>
      <c r="O1533" s="30">
        <f>L1533-M1533-N1533</f>
        <v>681288</v>
      </c>
      <c r="P1533" s="43"/>
    </row>
    <row r="1534" spans="2:16" x14ac:dyDescent="0.35">
      <c r="B1534" s="83" t="s">
        <v>5687</v>
      </c>
      <c r="C1534" s="90" t="s">
        <v>6535</v>
      </c>
      <c r="D1534" s="91">
        <v>45576</v>
      </c>
      <c r="E1534" s="36">
        <v>45576</v>
      </c>
      <c r="F1534" s="36">
        <v>45657</v>
      </c>
      <c r="G1534" s="64" t="s">
        <v>6</v>
      </c>
      <c r="H1534" s="83" t="s">
        <v>6536</v>
      </c>
      <c r="I1534" s="83" t="s">
        <v>2542</v>
      </c>
      <c r="J1534" s="83" t="s">
        <v>6537</v>
      </c>
      <c r="K1534" s="43" t="s">
        <v>2573</v>
      </c>
      <c r="L1534" s="85">
        <v>2977</v>
      </c>
      <c r="M1534" s="30">
        <v>0</v>
      </c>
      <c r="N1534" s="30">
        <v>2977</v>
      </c>
      <c r="O1534" s="30">
        <f t="shared" ref="O1534:O1536" si="35">L1534-M1534-N1534</f>
        <v>0</v>
      </c>
      <c r="P1534" s="43"/>
    </row>
    <row r="1535" spans="2:16" x14ac:dyDescent="0.35">
      <c r="B1535" s="83" t="s">
        <v>3421</v>
      </c>
      <c r="C1535" s="90" t="s">
        <v>3646</v>
      </c>
      <c r="D1535" s="84">
        <v>45009</v>
      </c>
      <c r="E1535" s="84">
        <v>45009</v>
      </c>
      <c r="F1535" s="36">
        <v>46835</v>
      </c>
      <c r="G1535" s="64" t="s">
        <v>6</v>
      </c>
      <c r="H1535" s="83" t="s">
        <v>802</v>
      </c>
      <c r="I1535" s="35" t="s">
        <v>2816</v>
      </c>
      <c r="J1535" s="83" t="s">
        <v>6538</v>
      </c>
      <c r="K1535" s="83" t="s">
        <v>6538</v>
      </c>
      <c r="L1535" s="85">
        <v>125000</v>
      </c>
      <c r="M1535" s="30">
        <v>0</v>
      </c>
      <c r="N1535" s="30">
        <f>123988.84</f>
        <v>123988.84</v>
      </c>
      <c r="O1535" s="30">
        <f t="shared" si="35"/>
        <v>1011.1600000000035</v>
      </c>
      <c r="P1535" s="43" t="s">
        <v>6503</v>
      </c>
    </row>
    <row r="1536" spans="2:16" x14ac:dyDescent="0.35">
      <c r="B1536" s="83" t="s">
        <v>6088</v>
      </c>
      <c r="C1536" s="90" t="s">
        <v>6539</v>
      </c>
      <c r="D1536" s="84">
        <v>45715</v>
      </c>
      <c r="E1536" s="84">
        <v>45715</v>
      </c>
      <c r="F1536" s="36">
        <v>46752</v>
      </c>
      <c r="G1536" s="64" t="s">
        <v>6</v>
      </c>
      <c r="H1536" s="83" t="s">
        <v>6540</v>
      </c>
      <c r="I1536" s="83" t="s">
        <v>2521</v>
      </c>
      <c r="J1536" s="83" t="s">
        <v>5236</v>
      </c>
      <c r="K1536" s="43" t="s">
        <v>3181</v>
      </c>
      <c r="L1536" s="85">
        <v>30000</v>
      </c>
      <c r="M1536" s="30">
        <v>0</v>
      </c>
      <c r="N1536" s="30">
        <f>5000</f>
        <v>5000</v>
      </c>
      <c r="O1536" s="30">
        <f t="shared" si="35"/>
        <v>25000</v>
      </c>
      <c r="P1536" s="43"/>
    </row>
    <row r="1537" spans="2:16" x14ac:dyDescent="0.35">
      <c r="B1537" s="83" t="s">
        <v>6542</v>
      </c>
      <c r="C1537" s="90" t="s">
        <v>6552</v>
      </c>
      <c r="D1537" s="84">
        <v>45763</v>
      </c>
      <c r="E1537" s="84">
        <v>45763</v>
      </c>
      <c r="F1537" s="36">
        <v>47588</v>
      </c>
      <c r="G1537" s="64" t="s">
        <v>6</v>
      </c>
      <c r="H1537" s="108" t="s">
        <v>6616</v>
      </c>
      <c r="I1537" s="83" t="s">
        <v>6492</v>
      </c>
      <c r="J1537" s="83" t="s">
        <v>5766</v>
      </c>
      <c r="K1537" s="43" t="s">
        <v>5847</v>
      </c>
      <c r="L1537" s="85">
        <v>39270</v>
      </c>
      <c r="M1537" s="30">
        <v>0</v>
      </c>
      <c r="N1537" s="30"/>
      <c r="O1537" s="30"/>
      <c r="P1537" s="43" t="s">
        <v>6667</v>
      </c>
    </row>
    <row r="1538" spans="2:16" x14ac:dyDescent="0.35">
      <c r="B1538" s="83" t="s">
        <v>6543</v>
      </c>
      <c r="C1538" s="90" t="s">
        <v>6553</v>
      </c>
      <c r="D1538" s="84">
        <v>45763</v>
      </c>
      <c r="E1538" s="84">
        <v>45763</v>
      </c>
      <c r="F1538" s="36">
        <v>46310</v>
      </c>
      <c r="G1538" s="64" t="s">
        <v>6</v>
      </c>
      <c r="H1538" s="83" t="s">
        <v>6616</v>
      </c>
      <c r="I1538" s="83" t="s">
        <v>6492</v>
      </c>
      <c r="J1538" s="83" t="s">
        <v>6035</v>
      </c>
      <c r="K1538" s="43" t="s">
        <v>5076</v>
      </c>
      <c r="L1538" s="85">
        <v>22726.5</v>
      </c>
      <c r="M1538" s="30">
        <v>0</v>
      </c>
      <c r="N1538" s="30"/>
      <c r="O1538" s="30"/>
      <c r="P1538" s="43" t="s">
        <v>6667</v>
      </c>
    </row>
    <row r="1539" spans="2:16" ht="29" x14ac:dyDescent="0.35">
      <c r="B1539" s="83" t="s">
        <v>5831</v>
      </c>
      <c r="C1539" s="90" t="s">
        <v>6554</v>
      </c>
      <c r="D1539" s="84">
        <v>45783</v>
      </c>
      <c r="E1539" s="84">
        <v>45783</v>
      </c>
      <c r="F1539" s="36">
        <v>46934</v>
      </c>
      <c r="G1539" s="64" t="s">
        <v>6</v>
      </c>
      <c r="H1539" s="83" t="s">
        <v>3850</v>
      </c>
      <c r="I1539" s="83" t="s">
        <v>6603</v>
      </c>
      <c r="J1539" s="83" t="s">
        <v>6659</v>
      </c>
      <c r="K1539" s="43" t="s">
        <v>2573</v>
      </c>
      <c r="L1539" s="85">
        <v>1000</v>
      </c>
      <c r="M1539" s="30">
        <v>0</v>
      </c>
      <c r="N1539" s="30"/>
      <c r="O1539" s="30"/>
      <c r="P1539" s="43"/>
    </row>
    <row r="1540" spans="2:16" ht="29" x14ac:dyDescent="0.35">
      <c r="B1540" s="83" t="s">
        <v>6544</v>
      </c>
      <c r="C1540" s="90" t="s">
        <v>6555</v>
      </c>
      <c r="D1540" s="84">
        <v>45783</v>
      </c>
      <c r="E1540" s="84">
        <v>45783</v>
      </c>
      <c r="F1540" s="36">
        <v>45838</v>
      </c>
      <c r="G1540" s="64" t="s">
        <v>6</v>
      </c>
      <c r="H1540" s="83" t="s">
        <v>515</v>
      </c>
      <c r="I1540" s="83" t="s">
        <v>6472</v>
      </c>
      <c r="J1540" s="83" t="s">
        <v>6660</v>
      </c>
      <c r="K1540" s="43" t="s">
        <v>4704</v>
      </c>
      <c r="L1540" s="85">
        <v>20000</v>
      </c>
      <c r="M1540" s="30">
        <v>0</v>
      </c>
      <c r="N1540" s="30"/>
      <c r="O1540" s="30"/>
      <c r="P1540" s="43"/>
    </row>
    <row r="1541" spans="2:16" ht="29" x14ac:dyDescent="0.35">
      <c r="B1541" s="83" t="s">
        <v>5788</v>
      </c>
      <c r="C1541" s="90" t="s">
        <v>6556</v>
      </c>
      <c r="D1541" s="84">
        <v>45783</v>
      </c>
      <c r="E1541" s="84">
        <v>45783</v>
      </c>
      <c r="F1541" s="36">
        <v>46147</v>
      </c>
      <c r="G1541" s="64" t="s">
        <v>6</v>
      </c>
      <c r="H1541" s="83" t="s">
        <v>6617</v>
      </c>
      <c r="I1541" s="83" t="s">
        <v>6473</v>
      </c>
      <c r="J1541" s="83" t="s">
        <v>6661</v>
      </c>
      <c r="K1541" s="43" t="s">
        <v>3182</v>
      </c>
      <c r="L1541" s="85">
        <v>4800</v>
      </c>
      <c r="M1541" s="30">
        <v>0</v>
      </c>
      <c r="N1541" s="30"/>
      <c r="O1541" s="30"/>
      <c r="P1541" s="43"/>
    </row>
    <row r="1542" spans="2:16" x14ac:dyDescent="0.35">
      <c r="B1542" s="83" t="s">
        <v>5788</v>
      </c>
      <c r="C1542" s="90" t="s">
        <v>6557</v>
      </c>
      <c r="D1542" s="84">
        <v>45783</v>
      </c>
      <c r="E1542" s="84">
        <v>45783</v>
      </c>
      <c r="F1542" s="36">
        <v>46147</v>
      </c>
      <c r="G1542" s="64" t="s">
        <v>6</v>
      </c>
      <c r="H1542" s="83" t="s">
        <v>6618</v>
      </c>
      <c r="I1542" s="83" t="s">
        <v>6473</v>
      </c>
      <c r="J1542" s="83" t="s">
        <v>6661</v>
      </c>
      <c r="K1542" s="43" t="s">
        <v>3182</v>
      </c>
      <c r="L1542" s="85">
        <v>1900</v>
      </c>
      <c r="M1542" s="30">
        <v>0</v>
      </c>
      <c r="N1542" s="30"/>
      <c r="O1542" s="30"/>
      <c r="P1542" s="43"/>
    </row>
    <row r="1543" spans="2:16" ht="29" x14ac:dyDescent="0.35">
      <c r="B1543" s="83" t="s">
        <v>5788</v>
      </c>
      <c r="C1543" s="90" t="s">
        <v>6558</v>
      </c>
      <c r="D1543" s="84">
        <v>45783</v>
      </c>
      <c r="E1543" s="84">
        <v>45783</v>
      </c>
      <c r="F1543" s="36">
        <v>46147</v>
      </c>
      <c r="G1543" s="64" t="s">
        <v>6</v>
      </c>
      <c r="H1543" s="83" t="s">
        <v>6619</v>
      </c>
      <c r="I1543" s="83" t="s">
        <v>6473</v>
      </c>
      <c r="J1543" s="83" t="s">
        <v>6662</v>
      </c>
      <c r="K1543" s="43" t="s">
        <v>3182</v>
      </c>
      <c r="L1543" s="85">
        <v>5000</v>
      </c>
      <c r="M1543" s="30">
        <v>0</v>
      </c>
      <c r="N1543" s="30"/>
      <c r="O1543" s="30"/>
      <c r="P1543" s="43"/>
    </row>
    <row r="1544" spans="2:16" ht="29" x14ac:dyDescent="0.35">
      <c r="B1544" s="83" t="s">
        <v>5788</v>
      </c>
      <c r="C1544" s="90" t="s">
        <v>6559</v>
      </c>
      <c r="D1544" s="84">
        <v>45791</v>
      </c>
      <c r="E1544" s="84">
        <v>45791</v>
      </c>
      <c r="F1544" s="36">
        <v>46155</v>
      </c>
      <c r="G1544" s="64" t="s">
        <v>6</v>
      </c>
      <c r="H1544" s="83" t="s">
        <v>6620</v>
      </c>
      <c r="I1544" s="83" t="s">
        <v>6604</v>
      </c>
      <c r="J1544" s="83" t="s">
        <v>6663</v>
      </c>
      <c r="K1544" s="43" t="s">
        <v>3182</v>
      </c>
      <c r="L1544" s="85">
        <v>2350</v>
      </c>
      <c r="M1544" s="30">
        <v>0</v>
      </c>
      <c r="N1544" s="30"/>
      <c r="O1544" s="30"/>
      <c r="P1544" s="43"/>
    </row>
    <row r="1545" spans="2:16" ht="29" x14ac:dyDescent="0.35">
      <c r="B1545" s="83" t="s">
        <v>5788</v>
      </c>
      <c r="C1545" s="90" t="s">
        <v>6560</v>
      </c>
      <c r="D1545" s="84">
        <v>45791</v>
      </c>
      <c r="E1545" s="84">
        <v>45791</v>
      </c>
      <c r="F1545" s="36">
        <v>46155</v>
      </c>
      <c r="G1545" s="64" t="s">
        <v>6</v>
      </c>
      <c r="H1545" s="83" t="s">
        <v>6621</v>
      </c>
      <c r="I1545" s="83" t="s">
        <v>2654</v>
      </c>
      <c r="J1545" s="83" t="s">
        <v>6663</v>
      </c>
      <c r="K1545" s="43" t="s">
        <v>3182</v>
      </c>
      <c r="L1545" s="85">
        <v>10000</v>
      </c>
      <c r="M1545" s="30">
        <v>0</v>
      </c>
      <c r="N1545" s="30"/>
      <c r="O1545" s="30"/>
      <c r="P1545" s="43"/>
    </row>
    <row r="1546" spans="2:16" ht="29" x14ac:dyDescent="0.35">
      <c r="B1546" s="83" t="s">
        <v>5788</v>
      </c>
      <c r="C1546" s="90" t="s">
        <v>6561</v>
      </c>
      <c r="D1546" s="84">
        <v>45791</v>
      </c>
      <c r="E1546" s="84">
        <v>45791</v>
      </c>
      <c r="F1546" s="36">
        <v>46155</v>
      </c>
      <c r="G1546" s="64" t="s">
        <v>6</v>
      </c>
      <c r="H1546" s="83" t="s">
        <v>6622</v>
      </c>
      <c r="I1546" s="83" t="s">
        <v>6478</v>
      </c>
      <c r="J1546" s="83" t="s">
        <v>6663</v>
      </c>
      <c r="K1546" s="43" t="s">
        <v>3182</v>
      </c>
      <c r="L1546" s="85">
        <v>8400</v>
      </c>
      <c r="M1546" s="30">
        <v>0</v>
      </c>
      <c r="N1546" s="30"/>
      <c r="O1546" s="30"/>
      <c r="P1546" s="43"/>
    </row>
    <row r="1547" spans="2:16" ht="29" x14ac:dyDescent="0.35">
      <c r="B1547" s="83" t="s">
        <v>5788</v>
      </c>
      <c r="C1547" s="90" t="s">
        <v>6562</v>
      </c>
      <c r="D1547" s="84">
        <v>45791</v>
      </c>
      <c r="E1547" s="84">
        <v>45791</v>
      </c>
      <c r="F1547" s="36">
        <v>46155</v>
      </c>
      <c r="G1547" s="64" t="s">
        <v>6</v>
      </c>
      <c r="H1547" s="83" t="s">
        <v>6623</v>
      </c>
      <c r="I1547" s="83" t="s">
        <v>6484</v>
      </c>
      <c r="J1547" s="83" t="s">
        <v>6663</v>
      </c>
      <c r="K1547" s="43" t="s">
        <v>3182</v>
      </c>
      <c r="L1547" s="85">
        <v>10000</v>
      </c>
      <c r="M1547" s="30">
        <v>0</v>
      </c>
      <c r="N1547" s="30"/>
      <c r="O1547" s="30"/>
      <c r="P1547" s="43"/>
    </row>
    <row r="1548" spans="2:16" x14ac:dyDescent="0.35">
      <c r="B1548" s="83" t="s">
        <v>5788</v>
      </c>
      <c r="C1548" s="90" t="s">
        <v>6563</v>
      </c>
      <c r="D1548" s="84">
        <v>45791</v>
      </c>
      <c r="E1548" s="84">
        <v>45791</v>
      </c>
      <c r="F1548" s="36">
        <v>46155</v>
      </c>
      <c r="G1548" s="64" t="s">
        <v>6</v>
      </c>
      <c r="H1548" s="83" t="s">
        <v>6624</v>
      </c>
      <c r="I1548" s="83" t="s">
        <v>6605</v>
      </c>
      <c r="J1548" s="83" t="s">
        <v>4704</v>
      </c>
      <c r="K1548" s="83" t="s">
        <v>4704</v>
      </c>
      <c r="L1548" s="85">
        <v>5000</v>
      </c>
      <c r="M1548" s="30">
        <v>0</v>
      </c>
      <c r="N1548" s="30"/>
      <c r="O1548" s="30"/>
      <c r="P1548" s="43"/>
    </row>
    <row r="1549" spans="2:16" ht="29" x14ac:dyDescent="0.35">
      <c r="B1549" s="83" t="s">
        <v>5788</v>
      </c>
      <c r="C1549" s="90" t="s">
        <v>6564</v>
      </c>
      <c r="D1549" s="84">
        <v>45791</v>
      </c>
      <c r="E1549" s="84">
        <v>45791</v>
      </c>
      <c r="F1549" s="36">
        <v>45790</v>
      </c>
      <c r="G1549" s="64" t="s">
        <v>6</v>
      </c>
      <c r="H1549" s="83" t="s">
        <v>6625</v>
      </c>
      <c r="I1549" s="83" t="s">
        <v>6473</v>
      </c>
      <c r="J1549" s="83" t="s">
        <v>4704</v>
      </c>
      <c r="K1549" s="83" t="s">
        <v>4704</v>
      </c>
      <c r="L1549" s="85">
        <v>10000</v>
      </c>
      <c r="M1549" s="30">
        <v>0</v>
      </c>
      <c r="N1549" s="30"/>
      <c r="O1549" s="30"/>
      <c r="P1549" s="43"/>
    </row>
    <row r="1550" spans="2:16" ht="29" x14ac:dyDescent="0.35">
      <c r="B1550" s="83" t="s">
        <v>5788</v>
      </c>
      <c r="C1550" s="90" t="s">
        <v>6565</v>
      </c>
      <c r="D1550" s="84">
        <v>45791</v>
      </c>
      <c r="E1550" s="84">
        <v>45791</v>
      </c>
      <c r="F1550" s="36">
        <v>45790</v>
      </c>
      <c r="G1550" s="64" t="s">
        <v>6</v>
      </c>
      <c r="H1550" s="83" t="s">
        <v>6626</v>
      </c>
      <c r="I1550" s="83" t="s">
        <v>6486</v>
      </c>
      <c r="J1550" s="83" t="s">
        <v>6663</v>
      </c>
      <c r="K1550" s="43" t="s">
        <v>3182</v>
      </c>
      <c r="L1550" s="85">
        <v>10000</v>
      </c>
      <c r="M1550" s="30">
        <v>0</v>
      </c>
      <c r="N1550" s="30"/>
      <c r="O1550" s="30"/>
      <c r="P1550" s="43"/>
    </row>
    <row r="1551" spans="2:16" ht="29" x14ac:dyDescent="0.35">
      <c r="B1551" s="83" t="s">
        <v>5788</v>
      </c>
      <c r="C1551" s="90" t="s">
        <v>6566</v>
      </c>
      <c r="D1551" s="84">
        <v>45791</v>
      </c>
      <c r="E1551" s="84">
        <v>45791</v>
      </c>
      <c r="F1551" s="36">
        <v>45790</v>
      </c>
      <c r="G1551" s="64" t="s">
        <v>6</v>
      </c>
      <c r="H1551" s="83" t="s">
        <v>6627</v>
      </c>
      <c r="I1551" s="83" t="s">
        <v>6606</v>
      </c>
      <c r="J1551" s="83" t="s">
        <v>6663</v>
      </c>
      <c r="K1551" s="43" t="s">
        <v>3182</v>
      </c>
      <c r="L1551" s="85">
        <v>7560</v>
      </c>
      <c r="M1551" s="30">
        <v>0</v>
      </c>
      <c r="N1551" s="30"/>
      <c r="O1551" s="30"/>
      <c r="P1551" s="43"/>
    </row>
    <row r="1552" spans="2:16" ht="29" x14ac:dyDescent="0.35">
      <c r="B1552" s="83" t="s">
        <v>5788</v>
      </c>
      <c r="C1552" s="90" t="s">
        <v>6567</v>
      </c>
      <c r="D1552" s="84">
        <v>45791</v>
      </c>
      <c r="E1552" s="84">
        <v>45791</v>
      </c>
      <c r="F1552" s="36">
        <v>46155</v>
      </c>
      <c r="G1552" s="64" t="s">
        <v>6</v>
      </c>
      <c r="H1552" s="83" t="s">
        <v>6629</v>
      </c>
      <c r="I1552" s="83" t="s">
        <v>2654</v>
      </c>
      <c r="J1552" s="83" t="s">
        <v>6663</v>
      </c>
      <c r="K1552" s="43" t="s">
        <v>3182</v>
      </c>
      <c r="L1552" s="85">
        <v>10000</v>
      </c>
      <c r="M1552" s="30">
        <v>0</v>
      </c>
      <c r="N1552" s="30"/>
      <c r="O1552" s="30"/>
      <c r="P1552" s="43"/>
    </row>
    <row r="1553" spans="2:16" ht="29" x14ac:dyDescent="0.35">
      <c r="B1553" s="83" t="s">
        <v>5788</v>
      </c>
      <c r="C1553" s="90" t="s">
        <v>6568</v>
      </c>
      <c r="D1553" s="84">
        <v>45791</v>
      </c>
      <c r="E1553" s="84">
        <v>45791</v>
      </c>
      <c r="F1553" s="36">
        <v>46155</v>
      </c>
      <c r="G1553" s="64" t="s">
        <v>6</v>
      </c>
      <c r="H1553" s="83" t="s">
        <v>6630</v>
      </c>
      <c r="I1553" s="83" t="s">
        <v>2654</v>
      </c>
      <c r="J1553" s="83" t="s">
        <v>6664</v>
      </c>
      <c r="K1553" s="43" t="s">
        <v>3182</v>
      </c>
      <c r="L1553" s="85">
        <v>10000</v>
      </c>
      <c r="M1553" s="30">
        <v>0</v>
      </c>
      <c r="N1553" s="30"/>
      <c r="O1553" s="30"/>
      <c r="P1553" s="43"/>
    </row>
    <row r="1554" spans="2:16" ht="29" x14ac:dyDescent="0.35">
      <c r="B1554" s="83" t="s">
        <v>5788</v>
      </c>
      <c r="C1554" s="90" t="s">
        <v>6569</v>
      </c>
      <c r="D1554" s="84">
        <v>45791</v>
      </c>
      <c r="E1554" s="84">
        <v>45791</v>
      </c>
      <c r="F1554" s="36">
        <v>46155</v>
      </c>
      <c r="G1554" s="64" t="s">
        <v>6</v>
      </c>
      <c r="H1554" s="83" t="s">
        <v>6631</v>
      </c>
      <c r="I1554" s="83" t="s">
        <v>2654</v>
      </c>
      <c r="J1554" s="83" t="s">
        <v>6663</v>
      </c>
      <c r="K1554" s="43" t="s">
        <v>3182</v>
      </c>
      <c r="L1554" s="85">
        <v>10000</v>
      </c>
      <c r="M1554" s="30">
        <v>0</v>
      </c>
      <c r="N1554" s="30"/>
      <c r="O1554" s="30"/>
      <c r="P1554" s="43"/>
    </row>
    <row r="1555" spans="2:16" ht="29" x14ac:dyDescent="0.35">
      <c r="B1555" s="83" t="s">
        <v>5788</v>
      </c>
      <c r="C1555" s="90" t="s">
        <v>6570</v>
      </c>
      <c r="D1555" s="84">
        <v>45791</v>
      </c>
      <c r="E1555" s="84">
        <v>45791</v>
      </c>
      <c r="F1555" s="36">
        <v>46155</v>
      </c>
      <c r="G1555" s="64" t="s">
        <v>6</v>
      </c>
      <c r="H1555" s="83" t="s">
        <v>6632</v>
      </c>
      <c r="I1555" s="83" t="s">
        <v>6607</v>
      </c>
      <c r="J1555" s="83" t="s">
        <v>6663</v>
      </c>
      <c r="K1555" s="43" t="s">
        <v>3182</v>
      </c>
      <c r="L1555" s="85">
        <v>10000</v>
      </c>
      <c r="M1555" s="30">
        <v>0</v>
      </c>
      <c r="N1555" s="30"/>
      <c r="O1555" s="30"/>
      <c r="P1555" s="43"/>
    </row>
    <row r="1556" spans="2:16" ht="29" x14ac:dyDescent="0.35">
      <c r="B1556" s="83" t="s">
        <v>5788</v>
      </c>
      <c r="C1556" s="90" t="s">
        <v>6571</v>
      </c>
      <c r="D1556" s="84">
        <v>45791</v>
      </c>
      <c r="E1556" s="84">
        <v>45791</v>
      </c>
      <c r="F1556" s="36">
        <v>46155</v>
      </c>
      <c r="G1556" s="64" t="s">
        <v>6</v>
      </c>
      <c r="H1556" s="83" t="s">
        <v>6633</v>
      </c>
      <c r="I1556" s="83" t="s">
        <v>6491</v>
      </c>
      <c r="J1556" s="83" t="s">
        <v>6663</v>
      </c>
      <c r="K1556" s="43" t="s">
        <v>3182</v>
      </c>
      <c r="L1556" s="85">
        <v>10000</v>
      </c>
      <c r="M1556" s="30">
        <v>0</v>
      </c>
      <c r="N1556" s="30"/>
      <c r="O1556" s="30"/>
      <c r="P1556" s="43"/>
    </row>
    <row r="1557" spans="2:16" ht="29" x14ac:dyDescent="0.35">
      <c r="B1557" s="83" t="s">
        <v>5788</v>
      </c>
      <c r="C1557" s="90" t="s">
        <v>6572</v>
      </c>
      <c r="D1557" s="84">
        <v>45791</v>
      </c>
      <c r="E1557" s="84">
        <v>45791</v>
      </c>
      <c r="F1557" s="36">
        <v>46155</v>
      </c>
      <c r="G1557" s="64" t="s">
        <v>6</v>
      </c>
      <c r="H1557" s="83" t="s">
        <v>6634</v>
      </c>
      <c r="I1557" s="83" t="s">
        <v>5770</v>
      </c>
      <c r="J1557" s="83" t="s">
        <v>6663</v>
      </c>
      <c r="K1557" s="43" t="s">
        <v>3182</v>
      </c>
      <c r="L1557" s="85">
        <v>4800</v>
      </c>
      <c r="M1557" s="30">
        <v>0</v>
      </c>
      <c r="N1557" s="30"/>
      <c r="O1557" s="30"/>
      <c r="P1557" s="43"/>
    </row>
    <row r="1558" spans="2:16" x14ac:dyDescent="0.35">
      <c r="B1558" s="83" t="s">
        <v>6088</v>
      </c>
      <c r="C1558" s="90" t="s">
        <v>6573</v>
      </c>
      <c r="D1558" s="84">
        <v>45791</v>
      </c>
      <c r="E1558" s="84">
        <v>45791</v>
      </c>
      <c r="F1558" s="36">
        <v>46387</v>
      </c>
      <c r="G1558" s="64" t="s">
        <v>6</v>
      </c>
      <c r="H1558" s="83" t="s">
        <v>6635</v>
      </c>
      <c r="I1558" s="83" t="s">
        <v>5770</v>
      </c>
      <c r="J1558" s="83" t="s">
        <v>6681</v>
      </c>
      <c r="K1558" s="43" t="s">
        <v>3181</v>
      </c>
      <c r="L1558" s="85">
        <v>5000</v>
      </c>
      <c r="M1558" s="30">
        <v>0</v>
      </c>
      <c r="N1558" s="30"/>
      <c r="O1558" s="30"/>
      <c r="P1558" s="43"/>
    </row>
    <row r="1559" spans="2:16" ht="29" x14ac:dyDescent="0.35">
      <c r="B1559" s="83" t="s">
        <v>5788</v>
      </c>
      <c r="C1559" s="90" t="s">
        <v>6574</v>
      </c>
      <c r="D1559" s="84">
        <v>45791</v>
      </c>
      <c r="E1559" s="84">
        <v>45791</v>
      </c>
      <c r="F1559" s="36">
        <v>46155</v>
      </c>
      <c r="G1559" s="64" t="s">
        <v>6</v>
      </c>
      <c r="H1559" s="83" t="s">
        <v>6636</v>
      </c>
      <c r="I1559" s="83" t="s">
        <v>6481</v>
      </c>
      <c r="J1559" s="83" t="s">
        <v>6665</v>
      </c>
      <c r="K1559" s="43" t="s">
        <v>3182</v>
      </c>
      <c r="L1559" s="85">
        <v>10000</v>
      </c>
      <c r="M1559" s="30">
        <v>0</v>
      </c>
      <c r="N1559" s="30"/>
      <c r="O1559" s="30"/>
      <c r="P1559" s="43"/>
    </row>
    <row r="1560" spans="2:16" ht="29" x14ac:dyDescent="0.35">
      <c r="B1560" s="83" t="s">
        <v>5788</v>
      </c>
      <c r="C1560" s="90" t="s">
        <v>6575</v>
      </c>
      <c r="D1560" s="84">
        <v>45791</v>
      </c>
      <c r="E1560" s="84">
        <v>45791</v>
      </c>
      <c r="F1560" s="36">
        <v>46155</v>
      </c>
      <c r="G1560" s="64" t="s">
        <v>6</v>
      </c>
      <c r="H1560" s="83" t="s">
        <v>6637</v>
      </c>
      <c r="I1560" s="83" t="s">
        <v>6608</v>
      </c>
      <c r="J1560" s="83" t="s">
        <v>6663</v>
      </c>
      <c r="K1560" s="43" t="s">
        <v>3182</v>
      </c>
      <c r="L1560" s="85">
        <v>2400</v>
      </c>
      <c r="M1560" s="30">
        <v>0</v>
      </c>
      <c r="N1560" s="30"/>
      <c r="O1560" s="30"/>
      <c r="P1560" s="43"/>
    </row>
    <row r="1561" spans="2:16" x14ac:dyDescent="0.35">
      <c r="B1561" s="83" t="s">
        <v>5822</v>
      </c>
      <c r="C1561" s="90" t="s">
        <v>6576</v>
      </c>
      <c r="D1561" s="84">
        <v>45792</v>
      </c>
      <c r="E1561" s="84">
        <v>45792</v>
      </c>
      <c r="F1561" s="36">
        <v>46675</v>
      </c>
      <c r="G1561" s="64" t="s">
        <v>6</v>
      </c>
      <c r="H1561" s="83" t="s">
        <v>6638</v>
      </c>
      <c r="I1561" s="83" t="s">
        <v>6668</v>
      </c>
      <c r="J1561" s="83" t="s">
        <v>6666</v>
      </c>
      <c r="K1561" s="43" t="s">
        <v>2583</v>
      </c>
      <c r="L1561" s="85">
        <v>52500</v>
      </c>
      <c r="M1561" s="30">
        <v>0</v>
      </c>
      <c r="N1561" s="30"/>
      <c r="O1561" s="30">
        <f t="shared" ref="O1561" si="36">L1561-M1561-N1561</f>
        <v>52500</v>
      </c>
      <c r="P1561" s="43" t="s">
        <v>6669</v>
      </c>
    </row>
    <row r="1562" spans="2:16" x14ac:dyDescent="0.35">
      <c r="B1562" s="83" t="s">
        <v>6545</v>
      </c>
      <c r="C1562" s="90" t="s">
        <v>6577</v>
      </c>
      <c r="D1562" s="84">
        <v>45792</v>
      </c>
      <c r="E1562" s="84">
        <v>45792</v>
      </c>
      <c r="F1562" s="36">
        <v>47617</v>
      </c>
      <c r="G1562" s="64" t="s">
        <v>6</v>
      </c>
      <c r="H1562" s="83" t="s">
        <v>6639</v>
      </c>
      <c r="I1562" s="83" t="s">
        <v>6609</v>
      </c>
      <c r="J1562" s="83" t="s">
        <v>6242</v>
      </c>
      <c r="K1562" s="75" t="s">
        <v>2585</v>
      </c>
      <c r="L1562" s="85">
        <v>562500</v>
      </c>
      <c r="M1562" s="30">
        <v>0</v>
      </c>
      <c r="N1562" s="30"/>
      <c r="O1562" s="30"/>
      <c r="P1562" s="43" t="s">
        <v>6670</v>
      </c>
    </row>
    <row r="1563" spans="2:16" x14ac:dyDescent="0.35">
      <c r="B1563" s="83" t="s">
        <v>6546</v>
      </c>
      <c r="C1563" s="90" t="s">
        <v>6578</v>
      </c>
      <c r="D1563" s="84">
        <v>45792</v>
      </c>
      <c r="E1563" s="84">
        <v>45792</v>
      </c>
      <c r="F1563" s="36">
        <v>46887</v>
      </c>
      <c r="G1563" s="64" t="s">
        <v>6</v>
      </c>
      <c r="H1563" s="83" t="s">
        <v>6640</v>
      </c>
      <c r="I1563" s="83" t="s">
        <v>6111</v>
      </c>
      <c r="J1563" s="83" t="s">
        <v>6666</v>
      </c>
      <c r="K1563" s="43" t="s">
        <v>2583</v>
      </c>
      <c r="L1563" s="85">
        <v>62779</v>
      </c>
      <c r="M1563" s="30">
        <v>0</v>
      </c>
      <c r="N1563" s="30"/>
      <c r="O1563" s="30"/>
      <c r="P1563" s="43" t="s">
        <v>6671</v>
      </c>
    </row>
    <row r="1564" spans="2:16" x14ac:dyDescent="0.35">
      <c r="B1564" s="83" t="s">
        <v>6547</v>
      </c>
      <c r="C1564" s="90" t="s">
        <v>6579</v>
      </c>
      <c r="D1564" s="84">
        <v>45792</v>
      </c>
      <c r="E1564" s="84">
        <v>45792</v>
      </c>
      <c r="F1564" s="36">
        <v>46887</v>
      </c>
      <c r="G1564" s="64" t="s">
        <v>6</v>
      </c>
      <c r="H1564" s="83" t="s">
        <v>6640</v>
      </c>
      <c r="I1564" s="83" t="s">
        <v>2514</v>
      </c>
      <c r="J1564" s="83" t="s">
        <v>5766</v>
      </c>
      <c r="K1564" s="43" t="s">
        <v>5847</v>
      </c>
      <c r="L1564" s="85">
        <v>90000</v>
      </c>
      <c r="M1564" s="30">
        <v>0</v>
      </c>
      <c r="N1564" s="30"/>
      <c r="O1564" s="30"/>
      <c r="P1564" s="43" t="s">
        <v>6671</v>
      </c>
    </row>
    <row r="1565" spans="2:16" x14ac:dyDescent="0.35">
      <c r="B1565" s="83" t="s">
        <v>6548</v>
      </c>
      <c r="C1565" s="90" t="s">
        <v>6580</v>
      </c>
      <c r="D1565" s="84">
        <v>45793</v>
      </c>
      <c r="E1565" s="84">
        <v>45793</v>
      </c>
      <c r="F1565" s="36">
        <v>47664</v>
      </c>
      <c r="G1565" s="64" t="s">
        <v>6</v>
      </c>
      <c r="H1565" s="83" t="s">
        <v>6641</v>
      </c>
      <c r="I1565" s="83" t="s">
        <v>6610</v>
      </c>
      <c r="J1565" s="83" t="s">
        <v>5766</v>
      </c>
      <c r="K1565" s="43" t="s">
        <v>5847</v>
      </c>
      <c r="L1565" s="85">
        <v>75000</v>
      </c>
      <c r="M1565" s="30">
        <v>0</v>
      </c>
      <c r="N1565" s="30"/>
      <c r="O1565" s="30"/>
      <c r="P1565" s="43" t="s">
        <v>6667</v>
      </c>
    </row>
    <row r="1566" spans="2:16" x14ac:dyDescent="0.35">
      <c r="B1566" s="83" t="s">
        <v>6549</v>
      </c>
      <c r="C1566" s="90" t="s">
        <v>6581</v>
      </c>
      <c r="D1566" s="84">
        <v>45793</v>
      </c>
      <c r="E1566" s="84">
        <v>45793</v>
      </c>
      <c r="F1566" s="36">
        <v>47299</v>
      </c>
      <c r="G1566" s="64" t="s">
        <v>6</v>
      </c>
      <c r="H1566" s="83" t="s">
        <v>6641</v>
      </c>
      <c r="I1566" s="83" t="s">
        <v>6610</v>
      </c>
      <c r="J1566" s="83" t="s">
        <v>6666</v>
      </c>
      <c r="K1566" s="43" t="s">
        <v>2583</v>
      </c>
      <c r="L1566" s="85">
        <v>26250</v>
      </c>
      <c r="M1566" s="30">
        <v>0</v>
      </c>
      <c r="N1566" s="30"/>
      <c r="O1566" s="30"/>
      <c r="P1566" s="43" t="s">
        <v>6667</v>
      </c>
    </row>
    <row r="1567" spans="2:16" x14ac:dyDescent="0.35">
      <c r="B1567" s="83" t="s">
        <v>5788</v>
      </c>
      <c r="C1567" s="90" t="s">
        <v>6582</v>
      </c>
      <c r="D1567" s="84">
        <v>45793</v>
      </c>
      <c r="E1567" s="84">
        <v>45793</v>
      </c>
      <c r="F1567" s="36">
        <v>46157</v>
      </c>
      <c r="G1567" s="64" t="s">
        <v>6</v>
      </c>
      <c r="H1567" s="83" t="s">
        <v>6642</v>
      </c>
      <c r="I1567" s="83" t="s">
        <v>6481</v>
      </c>
      <c r="J1567" s="83" t="s">
        <v>4704</v>
      </c>
      <c r="K1567" s="43" t="s">
        <v>4704</v>
      </c>
      <c r="L1567" s="85">
        <v>10000</v>
      </c>
      <c r="M1567" s="30">
        <v>0</v>
      </c>
      <c r="N1567" s="30"/>
      <c r="O1567" s="30"/>
      <c r="P1567" s="43"/>
    </row>
    <row r="1568" spans="2:16" x14ac:dyDescent="0.35">
      <c r="B1568" s="83" t="s">
        <v>5818</v>
      </c>
      <c r="C1568" s="90" t="s">
        <v>6583</v>
      </c>
      <c r="D1568" s="84">
        <v>45793</v>
      </c>
      <c r="E1568" s="84">
        <v>45793</v>
      </c>
      <c r="F1568" s="36">
        <v>46675</v>
      </c>
      <c r="G1568" s="64" t="s">
        <v>6</v>
      </c>
      <c r="H1568" s="83" t="s">
        <v>6638</v>
      </c>
      <c r="I1568" s="83" t="s">
        <v>2654</v>
      </c>
      <c r="J1568" s="83" t="s">
        <v>5766</v>
      </c>
      <c r="K1568" s="43" t="s">
        <v>5847</v>
      </c>
      <c r="L1568" s="85">
        <v>125902</v>
      </c>
      <c r="M1568" s="30">
        <v>0</v>
      </c>
      <c r="N1568" s="30"/>
      <c r="O1568" s="30">
        <v>125902</v>
      </c>
      <c r="P1568" s="43" t="s">
        <v>6669</v>
      </c>
    </row>
    <row r="1569" spans="2:16" x14ac:dyDescent="0.35">
      <c r="B1569" s="83" t="s">
        <v>5788</v>
      </c>
      <c r="C1569" s="90" t="s">
        <v>6584</v>
      </c>
      <c r="D1569" s="84">
        <v>45793</v>
      </c>
      <c r="E1569" s="84">
        <v>45793</v>
      </c>
      <c r="F1569" s="36">
        <v>46157</v>
      </c>
      <c r="G1569" s="64" t="s">
        <v>6</v>
      </c>
      <c r="H1569" s="83" t="s">
        <v>6643</v>
      </c>
      <c r="I1569" s="83" t="s">
        <v>6484</v>
      </c>
      <c r="J1569" s="83" t="s">
        <v>4704</v>
      </c>
      <c r="K1569" s="43" t="s">
        <v>4704</v>
      </c>
      <c r="L1569" s="85">
        <v>10000</v>
      </c>
      <c r="M1569" s="30">
        <v>0</v>
      </c>
      <c r="N1569" s="30"/>
      <c r="O1569" s="30"/>
      <c r="P1569" s="43"/>
    </row>
    <row r="1570" spans="2:16" x14ac:dyDescent="0.35">
      <c r="B1570" s="83" t="s">
        <v>6550</v>
      </c>
      <c r="C1570" s="90" t="s">
        <v>6585</v>
      </c>
      <c r="D1570" s="84">
        <v>45793</v>
      </c>
      <c r="E1570" s="84">
        <v>45793</v>
      </c>
      <c r="F1570" s="36">
        <v>47618</v>
      </c>
      <c r="G1570" s="64" t="s">
        <v>6</v>
      </c>
      <c r="H1570" s="83" t="s">
        <v>6616</v>
      </c>
      <c r="I1570" s="83" t="s">
        <v>6611</v>
      </c>
      <c r="J1570" s="83" t="s">
        <v>6666</v>
      </c>
      <c r="K1570" s="43" t="s">
        <v>2583</v>
      </c>
      <c r="L1570" s="85">
        <v>7500</v>
      </c>
      <c r="M1570" s="30">
        <v>0</v>
      </c>
      <c r="N1570" s="30"/>
      <c r="O1570" s="30"/>
      <c r="P1570" s="44">
        <v>1.47</v>
      </c>
    </row>
    <row r="1571" spans="2:16" ht="29" x14ac:dyDescent="0.35">
      <c r="B1571" s="83" t="s">
        <v>6551</v>
      </c>
      <c r="C1571" s="90" t="s">
        <v>6586</v>
      </c>
      <c r="D1571" s="84">
        <v>45793</v>
      </c>
      <c r="E1571" s="84">
        <v>45793</v>
      </c>
      <c r="F1571" s="36">
        <v>45838</v>
      </c>
      <c r="G1571" s="64" t="s">
        <v>6</v>
      </c>
      <c r="H1571" s="83" t="s">
        <v>6644</v>
      </c>
      <c r="I1571" s="83" t="s">
        <v>6472</v>
      </c>
      <c r="J1571" s="83" t="s">
        <v>4704</v>
      </c>
      <c r="K1571" s="43" t="s">
        <v>4704</v>
      </c>
      <c r="L1571" s="85">
        <v>14000</v>
      </c>
      <c r="M1571" s="30">
        <v>0</v>
      </c>
      <c r="N1571" s="30"/>
      <c r="O1571" s="30"/>
      <c r="P1571" s="43"/>
    </row>
    <row r="1572" spans="2:16" x14ac:dyDescent="0.35">
      <c r="B1572" s="83" t="s">
        <v>5788</v>
      </c>
      <c r="C1572" s="90" t="s">
        <v>6587</v>
      </c>
      <c r="D1572" s="84">
        <v>45804</v>
      </c>
      <c r="E1572" s="84">
        <v>45804</v>
      </c>
      <c r="F1572" s="36">
        <v>46168</v>
      </c>
      <c r="G1572" s="64" t="s">
        <v>6</v>
      </c>
      <c r="H1572" s="83" t="s">
        <v>6645</v>
      </c>
      <c r="I1572" s="83" t="s">
        <v>6612</v>
      </c>
      <c r="J1572" s="83" t="s">
        <v>4704</v>
      </c>
      <c r="K1572" s="43" t="s">
        <v>4704</v>
      </c>
      <c r="L1572" s="85">
        <v>10000</v>
      </c>
      <c r="M1572" s="30">
        <v>0</v>
      </c>
      <c r="N1572" s="30"/>
      <c r="O1572" s="30"/>
      <c r="P1572" s="43"/>
    </row>
    <row r="1573" spans="2:16" ht="29" x14ac:dyDescent="0.35">
      <c r="B1573" s="83" t="s">
        <v>5687</v>
      </c>
      <c r="C1573" s="90" t="s">
        <v>6588</v>
      </c>
      <c r="D1573" s="84">
        <v>45804</v>
      </c>
      <c r="E1573" s="84">
        <v>45804</v>
      </c>
      <c r="F1573" s="36">
        <v>45838</v>
      </c>
      <c r="G1573" s="64" t="s">
        <v>6</v>
      </c>
      <c r="H1573" s="83" t="s">
        <v>6118</v>
      </c>
      <c r="I1573" s="83" t="s">
        <v>6613</v>
      </c>
      <c r="J1573" s="83" t="s">
        <v>6659</v>
      </c>
      <c r="K1573" s="43" t="s">
        <v>2573</v>
      </c>
      <c r="L1573" s="85">
        <v>720</v>
      </c>
      <c r="M1573" s="30">
        <v>0</v>
      </c>
      <c r="N1573" s="30"/>
      <c r="O1573" s="30"/>
      <c r="P1573" s="43"/>
    </row>
    <row r="1574" spans="2:16" x14ac:dyDescent="0.35">
      <c r="B1574" s="83" t="s">
        <v>5788</v>
      </c>
      <c r="C1574" s="90" t="s">
        <v>6589</v>
      </c>
      <c r="D1574" s="84">
        <v>45804</v>
      </c>
      <c r="E1574" s="84">
        <v>45804</v>
      </c>
      <c r="F1574" s="36">
        <v>46168</v>
      </c>
      <c r="G1574" s="64" t="s">
        <v>6</v>
      </c>
      <c r="H1574" s="83" t="s">
        <v>6646</v>
      </c>
      <c r="I1574" s="83" t="s">
        <v>2654</v>
      </c>
      <c r="J1574" s="83" t="s">
        <v>4704</v>
      </c>
      <c r="K1574" s="83" t="s">
        <v>4704</v>
      </c>
      <c r="L1574" s="85">
        <v>5000</v>
      </c>
      <c r="M1574" s="30">
        <v>0</v>
      </c>
      <c r="N1574" s="30"/>
      <c r="O1574" s="30"/>
      <c r="P1574" s="43"/>
    </row>
    <row r="1575" spans="2:16" x14ac:dyDescent="0.35">
      <c r="B1575" s="83" t="s">
        <v>5788</v>
      </c>
      <c r="C1575" s="90" t="s">
        <v>6590</v>
      </c>
      <c r="D1575" s="84">
        <v>45804</v>
      </c>
      <c r="E1575" s="84">
        <v>45804</v>
      </c>
      <c r="F1575" s="36">
        <v>46168</v>
      </c>
      <c r="G1575" s="64" t="s">
        <v>6</v>
      </c>
      <c r="H1575" s="83" t="s">
        <v>6647</v>
      </c>
      <c r="I1575" s="83" t="s">
        <v>2654</v>
      </c>
      <c r="J1575" s="83" t="s">
        <v>4704</v>
      </c>
      <c r="K1575" s="83" t="s">
        <v>4704</v>
      </c>
      <c r="L1575" s="85">
        <v>10000</v>
      </c>
      <c r="M1575" s="30">
        <v>0</v>
      </c>
      <c r="N1575" s="30"/>
      <c r="O1575" s="30"/>
      <c r="P1575" s="43"/>
    </row>
    <row r="1576" spans="2:16" x14ac:dyDescent="0.35">
      <c r="B1576" s="83" t="s">
        <v>5788</v>
      </c>
      <c r="C1576" s="90" t="s">
        <v>6591</v>
      </c>
      <c r="D1576" s="84">
        <v>45804</v>
      </c>
      <c r="E1576" s="84">
        <v>45804</v>
      </c>
      <c r="F1576" s="36">
        <v>46168</v>
      </c>
      <c r="G1576" s="64" t="s">
        <v>6</v>
      </c>
      <c r="H1576" s="83" t="s">
        <v>6648</v>
      </c>
      <c r="I1576" s="83" t="s">
        <v>6606</v>
      </c>
      <c r="J1576" s="83" t="s">
        <v>4704</v>
      </c>
      <c r="K1576" s="83" t="s">
        <v>4704</v>
      </c>
      <c r="L1576" s="85">
        <v>25000</v>
      </c>
      <c r="M1576" s="30">
        <v>0</v>
      </c>
      <c r="N1576" s="30"/>
      <c r="O1576" s="30"/>
      <c r="P1576" s="43"/>
    </row>
    <row r="1577" spans="2:16" x14ac:dyDescent="0.35">
      <c r="B1577" s="83" t="s">
        <v>5788</v>
      </c>
      <c r="C1577" s="90" t="s">
        <v>6592</v>
      </c>
      <c r="D1577" s="84">
        <v>45804</v>
      </c>
      <c r="E1577" s="84">
        <v>45804</v>
      </c>
      <c r="F1577" s="36">
        <v>46168</v>
      </c>
      <c r="G1577" s="64" t="s">
        <v>6</v>
      </c>
      <c r="H1577" s="83" t="s">
        <v>6649</v>
      </c>
      <c r="I1577" s="83" t="s">
        <v>2654</v>
      </c>
      <c r="J1577" s="83" t="s">
        <v>4704</v>
      </c>
      <c r="K1577" s="83" t="s">
        <v>4704</v>
      </c>
      <c r="L1577" s="85">
        <v>3000</v>
      </c>
      <c r="M1577" s="30">
        <v>0</v>
      </c>
      <c r="N1577" s="30"/>
      <c r="O1577" s="30"/>
      <c r="P1577" s="43"/>
    </row>
    <row r="1578" spans="2:16" ht="29" x14ac:dyDescent="0.35">
      <c r="B1578" s="83" t="s">
        <v>5788</v>
      </c>
      <c r="C1578" s="90" t="s">
        <v>6593</v>
      </c>
      <c r="D1578" s="84">
        <v>45804</v>
      </c>
      <c r="E1578" s="84">
        <v>45804</v>
      </c>
      <c r="F1578" s="36">
        <v>46168</v>
      </c>
      <c r="G1578" s="64" t="s">
        <v>6</v>
      </c>
      <c r="H1578" s="83" t="s">
        <v>6650</v>
      </c>
      <c r="I1578" s="83" t="s">
        <v>5770</v>
      </c>
      <c r="J1578" s="83" t="s">
        <v>4704</v>
      </c>
      <c r="K1578" s="83" t="s">
        <v>4704</v>
      </c>
      <c r="L1578" s="85">
        <v>10000</v>
      </c>
      <c r="M1578" s="30">
        <v>0</v>
      </c>
      <c r="N1578" s="30"/>
      <c r="O1578" s="30"/>
      <c r="P1578" s="43"/>
    </row>
    <row r="1579" spans="2:16" x14ac:dyDescent="0.35">
      <c r="B1579" s="83" t="s">
        <v>5788</v>
      </c>
      <c r="C1579" s="90" t="s">
        <v>6594</v>
      </c>
      <c r="D1579" s="84">
        <v>45804</v>
      </c>
      <c r="E1579" s="84">
        <v>45804</v>
      </c>
      <c r="F1579" s="36">
        <v>46168</v>
      </c>
      <c r="G1579" s="64" t="s">
        <v>6</v>
      </c>
      <c r="H1579" s="83" t="s">
        <v>6651</v>
      </c>
      <c r="I1579" s="83" t="s">
        <v>6482</v>
      </c>
      <c r="J1579" s="83" t="s">
        <v>4704</v>
      </c>
      <c r="K1579" s="83" t="s">
        <v>4704</v>
      </c>
      <c r="L1579" s="85">
        <v>10000</v>
      </c>
      <c r="M1579" s="30">
        <v>0</v>
      </c>
      <c r="N1579" s="30"/>
      <c r="O1579" s="30"/>
      <c r="P1579" s="43"/>
    </row>
    <row r="1580" spans="2:16" ht="29" x14ac:dyDescent="0.35">
      <c r="B1580" s="83" t="s">
        <v>5788</v>
      </c>
      <c r="C1580" s="90" t="s">
        <v>6595</v>
      </c>
      <c r="D1580" s="84">
        <v>45804</v>
      </c>
      <c r="E1580" s="84">
        <v>45804</v>
      </c>
      <c r="F1580" s="36">
        <v>46168</v>
      </c>
      <c r="G1580" s="64" t="s">
        <v>6</v>
      </c>
      <c r="H1580" s="83" t="s">
        <v>6652</v>
      </c>
      <c r="I1580" s="83" t="s">
        <v>6614</v>
      </c>
      <c r="J1580" s="83" t="s">
        <v>4704</v>
      </c>
      <c r="K1580" s="83" t="s">
        <v>4704</v>
      </c>
      <c r="L1580" s="85">
        <v>10000</v>
      </c>
      <c r="M1580" s="30">
        <v>0</v>
      </c>
      <c r="N1580" s="30"/>
      <c r="O1580" s="30"/>
      <c r="P1580" s="43"/>
    </row>
    <row r="1581" spans="2:16" ht="29" x14ac:dyDescent="0.35">
      <c r="B1581" s="83" t="s">
        <v>5788</v>
      </c>
      <c r="C1581" s="90" t="s">
        <v>6596</v>
      </c>
      <c r="D1581" s="84">
        <v>45804</v>
      </c>
      <c r="E1581" s="84">
        <v>45804</v>
      </c>
      <c r="F1581" s="36">
        <v>46168</v>
      </c>
      <c r="G1581" s="64" t="s">
        <v>6</v>
      </c>
      <c r="H1581" s="83" t="s">
        <v>6653</v>
      </c>
      <c r="I1581" s="83" t="s">
        <v>6489</v>
      </c>
      <c r="J1581" s="83" t="s">
        <v>4704</v>
      </c>
      <c r="K1581" s="83" t="s">
        <v>4704</v>
      </c>
      <c r="L1581" s="85">
        <v>2000</v>
      </c>
      <c r="M1581" s="30">
        <v>0</v>
      </c>
      <c r="N1581" s="30"/>
      <c r="O1581" s="30"/>
      <c r="P1581" s="43"/>
    </row>
    <row r="1582" spans="2:16" x14ac:dyDescent="0.35">
      <c r="B1582" s="83" t="s">
        <v>5788</v>
      </c>
      <c r="C1582" s="90" t="s">
        <v>6597</v>
      </c>
      <c r="D1582" s="84">
        <v>45804</v>
      </c>
      <c r="E1582" s="84">
        <v>45804</v>
      </c>
      <c r="F1582" s="36">
        <v>46168</v>
      </c>
      <c r="G1582" s="64" t="s">
        <v>6</v>
      </c>
      <c r="H1582" s="83" t="s">
        <v>6654</v>
      </c>
      <c r="I1582" s="83" t="s">
        <v>6606</v>
      </c>
      <c r="J1582" s="83" t="s">
        <v>4704</v>
      </c>
      <c r="K1582" s="83" t="s">
        <v>4704</v>
      </c>
      <c r="L1582" s="85">
        <v>10000</v>
      </c>
      <c r="M1582" s="30">
        <v>0</v>
      </c>
      <c r="N1582" s="30"/>
      <c r="O1582" s="30"/>
      <c r="P1582" s="43"/>
    </row>
    <row r="1583" spans="2:16" ht="29" x14ac:dyDescent="0.35">
      <c r="B1583" s="83" t="s">
        <v>5788</v>
      </c>
      <c r="C1583" s="90" t="s">
        <v>6598</v>
      </c>
      <c r="D1583" s="84">
        <v>45804</v>
      </c>
      <c r="E1583" s="84">
        <v>45804</v>
      </c>
      <c r="F1583" s="36">
        <v>46168</v>
      </c>
      <c r="G1583" s="64" t="s">
        <v>6</v>
      </c>
      <c r="H1583" s="83" t="s">
        <v>6655</v>
      </c>
      <c r="I1583" s="83" t="s">
        <v>6603</v>
      </c>
      <c r="J1583" s="83" t="s">
        <v>4704</v>
      </c>
      <c r="K1583" s="83" t="s">
        <v>4704</v>
      </c>
      <c r="L1583" s="85">
        <v>10000</v>
      </c>
      <c r="M1583" s="30">
        <v>0</v>
      </c>
      <c r="N1583" s="30"/>
      <c r="O1583" s="30"/>
      <c r="P1583" s="43"/>
    </row>
    <row r="1584" spans="2:16" x14ac:dyDescent="0.35">
      <c r="B1584" s="83" t="s">
        <v>5788</v>
      </c>
      <c r="C1584" s="90" t="s">
        <v>6599</v>
      </c>
      <c r="D1584" s="84">
        <v>45804</v>
      </c>
      <c r="E1584" s="84">
        <v>45804</v>
      </c>
      <c r="F1584" s="36">
        <v>46168</v>
      </c>
      <c r="G1584" s="64" t="s">
        <v>6</v>
      </c>
      <c r="H1584" s="83" t="s">
        <v>6656</v>
      </c>
      <c r="I1584" s="83" t="s">
        <v>6472</v>
      </c>
      <c r="J1584" s="83" t="s">
        <v>4704</v>
      </c>
      <c r="K1584" s="83" t="s">
        <v>4704</v>
      </c>
      <c r="L1584" s="85">
        <v>5000</v>
      </c>
      <c r="M1584" s="30">
        <v>0</v>
      </c>
      <c r="N1584" s="30"/>
      <c r="O1584" s="30"/>
      <c r="P1584" s="43"/>
    </row>
    <row r="1585" spans="2:16" ht="29" x14ac:dyDescent="0.35">
      <c r="B1585" s="83" t="s">
        <v>5788</v>
      </c>
      <c r="C1585" s="90" t="s">
        <v>6600</v>
      </c>
      <c r="D1585" s="84">
        <v>45804</v>
      </c>
      <c r="E1585" s="84">
        <v>45804</v>
      </c>
      <c r="F1585" s="36">
        <v>46168</v>
      </c>
      <c r="G1585" s="64" t="s">
        <v>6</v>
      </c>
      <c r="H1585" s="83" t="s">
        <v>6657</v>
      </c>
      <c r="I1585" s="83" t="s">
        <v>6483</v>
      </c>
      <c r="J1585" s="83" t="s">
        <v>4704</v>
      </c>
      <c r="K1585" s="83" t="s">
        <v>4704</v>
      </c>
      <c r="L1585" s="85">
        <v>5000</v>
      </c>
      <c r="M1585" s="30">
        <v>0</v>
      </c>
      <c r="N1585" s="30"/>
      <c r="O1585" s="30"/>
      <c r="P1585" s="43"/>
    </row>
    <row r="1586" spans="2:16" x14ac:dyDescent="0.35">
      <c r="B1586" s="83" t="s">
        <v>5973</v>
      </c>
      <c r="C1586" s="90" t="s">
        <v>6601</v>
      </c>
      <c r="D1586" s="84">
        <v>45807</v>
      </c>
      <c r="E1586" s="84">
        <v>45807</v>
      </c>
      <c r="F1586" s="36">
        <v>46022</v>
      </c>
      <c r="G1586" s="64" t="s">
        <v>6</v>
      </c>
      <c r="H1586" s="83" t="s">
        <v>6024</v>
      </c>
      <c r="I1586" s="83" t="s">
        <v>6492</v>
      </c>
      <c r="J1586" s="83" t="s">
        <v>4704</v>
      </c>
      <c r="K1586" s="43" t="s">
        <v>5670</v>
      </c>
      <c r="L1586" s="85">
        <v>125000</v>
      </c>
      <c r="M1586" s="30">
        <v>0</v>
      </c>
      <c r="N1586" s="30"/>
      <c r="O1586" s="30">
        <f t="shared" ref="O1586" si="37">L1586-M1586-N1586</f>
        <v>125000</v>
      </c>
      <c r="P1586" s="43"/>
    </row>
    <row r="1587" spans="2:16" x14ac:dyDescent="0.35">
      <c r="B1587" s="90" t="s">
        <v>5710</v>
      </c>
      <c r="C1587" s="90" t="s">
        <v>6602</v>
      </c>
      <c r="D1587" s="84">
        <v>45811</v>
      </c>
      <c r="E1587" s="84">
        <v>45811</v>
      </c>
      <c r="F1587" s="36">
        <v>45838</v>
      </c>
      <c r="G1587" s="64" t="s">
        <v>6</v>
      </c>
      <c r="H1587" s="83" t="s">
        <v>6658</v>
      </c>
      <c r="I1587" s="83" t="s">
        <v>6615</v>
      </c>
      <c r="J1587" s="83" t="s">
        <v>4704</v>
      </c>
      <c r="K1587" s="83" t="s">
        <v>4704</v>
      </c>
      <c r="L1587" s="85">
        <v>14800</v>
      </c>
      <c r="M1587" s="30">
        <v>0</v>
      </c>
      <c r="N1587" s="30"/>
      <c r="O1587" s="30"/>
      <c r="P1587" s="43"/>
    </row>
    <row r="1588" spans="2:16" ht="29" x14ac:dyDescent="0.35">
      <c r="B1588" s="39" t="s">
        <v>6678</v>
      </c>
      <c r="C1588" s="80" t="s">
        <v>6679</v>
      </c>
      <c r="D1588" s="40">
        <v>44328</v>
      </c>
      <c r="E1588" s="36">
        <v>44328</v>
      </c>
      <c r="F1588" s="36">
        <v>44876</v>
      </c>
      <c r="G1588" s="64" t="s">
        <v>5683</v>
      </c>
      <c r="H1588" s="38" t="s">
        <v>1396</v>
      </c>
      <c r="I1588" s="61" t="s">
        <v>2816</v>
      </c>
      <c r="J1588" s="38" t="s">
        <v>4486</v>
      </c>
      <c r="K1588" s="38" t="s">
        <v>2586</v>
      </c>
      <c r="L1588" s="45">
        <v>50000</v>
      </c>
      <c r="M1588" s="30">
        <v>1923.7</v>
      </c>
      <c r="N1588" s="30">
        <f>48076.3</f>
        <v>48076.3</v>
      </c>
      <c r="O1588" s="30">
        <f t="shared" ref="O1588" si="38">L1588-M1588-N1588</f>
        <v>0</v>
      </c>
      <c r="P1588" s="44" t="s">
        <v>6680</v>
      </c>
    </row>
    <row r="1589" spans="2:16" x14ac:dyDescent="0.35">
      <c r="B1589" s="83" t="s">
        <v>6088</v>
      </c>
      <c r="C1589" s="90" t="s">
        <v>6682</v>
      </c>
      <c r="D1589" s="84">
        <v>45715</v>
      </c>
      <c r="E1589" s="84">
        <v>45715</v>
      </c>
      <c r="F1589" s="36">
        <v>46752</v>
      </c>
      <c r="G1589" s="64" t="s">
        <v>6</v>
      </c>
      <c r="H1589" s="83" t="s">
        <v>6683</v>
      </c>
      <c r="I1589" s="83" t="s">
        <v>2480</v>
      </c>
      <c r="J1589" s="83" t="s">
        <v>6681</v>
      </c>
      <c r="K1589" s="43" t="s">
        <v>3181</v>
      </c>
      <c r="L1589" s="85">
        <v>25000</v>
      </c>
      <c r="M1589" s="30">
        <v>0</v>
      </c>
      <c r="N1589" s="30">
        <f>5000</f>
        <v>5000</v>
      </c>
      <c r="O1589" s="30">
        <v>20000</v>
      </c>
      <c r="P1589" s="43"/>
    </row>
    <row r="1590" spans="2:16" x14ac:dyDescent="0.35">
      <c r="B1590" s="90" t="s">
        <v>5710</v>
      </c>
      <c r="C1590" s="90" t="s">
        <v>6685</v>
      </c>
      <c r="D1590" s="84">
        <v>45701</v>
      </c>
      <c r="E1590" s="36">
        <v>45701</v>
      </c>
      <c r="F1590" s="36">
        <v>45807</v>
      </c>
      <c r="G1590" s="64" t="s">
        <v>6</v>
      </c>
      <c r="H1590" s="83" t="s">
        <v>6686</v>
      </c>
      <c r="I1590" s="35" t="s">
        <v>2480</v>
      </c>
      <c r="J1590" s="43" t="s">
        <v>6687</v>
      </c>
      <c r="K1590" s="43" t="s">
        <v>4704</v>
      </c>
      <c r="L1590" s="85">
        <v>10000</v>
      </c>
      <c r="M1590" s="30">
        <v>0</v>
      </c>
      <c r="N1590" s="30">
        <v>5000</v>
      </c>
      <c r="O1590" s="30">
        <f t="shared" ref="O1590:O1591" si="39">L1590-M1590-N1590</f>
        <v>5000</v>
      </c>
      <c r="P1590" s="43"/>
    </row>
    <row r="1591" spans="2:16" ht="29" x14ac:dyDescent="0.35">
      <c r="B1591" s="109" t="s">
        <v>4111</v>
      </c>
      <c r="C1591" s="80" t="s">
        <v>6689</v>
      </c>
      <c r="D1591" s="36">
        <v>45093</v>
      </c>
      <c r="E1591" s="36">
        <v>45329</v>
      </c>
      <c r="F1591" s="36">
        <v>45823</v>
      </c>
      <c r="G1591" s="64" t="s">
        <v>6</v>
      </c>
      <c r="H1591" s="35" t="s">
        <v>6690</v>
      </c>
      <c r="I1591" s="35" t="s">
        <v>2473</v>
      </c>
      <c r="J1591" s="43" t="s">
        <v>6691</v>
      </c>
      <c r="K1591" s="43" t="s">
        <v>3555</v>
      </c>
      <c r="L1591" s="30">
        <v>50000</v>
      </c>
      <c r="M1591" s="30">
        <v>0</v>
      </c>
      <c r="N1591" s="30">
        <v>50000</v>
      </c>
      <c r="O1591" s="30">
        <f t="shared" si="39"/>
        <v>0</v>
      </c>
      <c r="P1591" s="44" t="s">
        <v>2874</v>
      </c>
    </row>
    <row r="1592" spans="2:16" x14ac:dyDescent="0.35">
      <c r="B1592" s="117" t="s">
        <v>6692</v>
      </c>
      <c r="C1592" s="118" t="s">
        <v>6705</v>
      </c>
      <c r="D1592" s="120">
        <v>45812</v>
      </c>
      <c r="E1592" s="120">
        <v>45812</v>
      </c>
      <c r="F1592" s="120">
        <v>46934</v>
      </c>
      <c r="G1592" s="64" t="s">
        <v>6</v>
      </c>
      <c r="H1592" s="117" t="s">
        <v>6747</v>
      </c>
      <c r="I1592" s="117" t="s">
        <v>2484</v>
      </c>
      <c r="J1592" s="110" t="s">
        <v>6495</v>
      </c>
      <c r="K1592" s="43" t="s">
        <v>2583</v>
      </c>
      <c r="L1592" s="113">
        <v>5250</v>
      </c>
      <c r="M1592" s="30">
        <v>0</v>
      </c>
      <c r="N1592" s="82"/>
      <c r="O1592" s="113">
        <v>5250</v>
      </c>
      <c r="P1592" s="110" t="s">
        <v>6965</v>
      </c>
    </row>
    <row r="1593" spans="2:16" x14ac:dyDescent="0.35">
      <c r="B1593" s="110" t="s">
        <v>5788</v>
      </c>
      <c r="C1593" s="119" t="s">
        <v>6706</v>
      </c>
      <c r="D1593" s="111">
        <v>45812</v>
      </c>
      <c r="E1593" s="111">
        <v>45812</v>
      </c>
      <c r="F1593" s="111">
        <v>46176</v>
      </c>
      <c r="G1593" s="64" t="s">
        <v>6</v>
      </c>
      <c r="H1593" s="110" t="s">
        <v>6748</v>
      </c>
      <c r="I1593" s="110" t="s">
        <v>3028</v>
      </c>
      <c r="J1593" s="110" t="s">
        <v>6783</v>
      </c>
      <c r="K1593" s="114" t="s">
        <v>3182</v>
      </c>
      <c r="L1593" s="113">
        <v>10000</v>
      </c>
      <c r="M1593" s="30">
        <v>0</v>
      </c>
      <c r="N1593" s="30"/>
      <c r="O1593" s="113">
        <v>10000</v>
      </c>
      <c r="P1593" s="110"/>
    </row>
    <row r="1594" spans="2:16" ht="29" x14ac:dyDescent="0.35">
      <c r="B1594" s="110" t="s">
        <v>5788</v>
      </c>
      <c r="C1594" s="119" t="s">
        <v>6707</v>
      </c>
      <c r="D1594" s="111">
        <v>45819</v>
      </c>
      <c r="E1594" s="111">
        <v>45819</v>
      </c>
      <c r="F1594" s="111">
        <v>46366</v>
      </c>
      <c r="G1594" s="64" t="s">
        <v>6</v>
      </c>
      <c r="H1594" s="110" t="s">
        <v>6749</v>
      </c>
      <c r="I1594" s="110" t="s">
        <v>6472</v>
      </c>
      <c r="J1594" s="110" t="s">
        <v>6784</v>
      </c>
      <c r="K1594" s="43" t="s">
        <v>4819</v>
      </c>
      <c r="L1594" s="113">
        <v>5000</v>
      </c>
      <c r="M1594" s="30">
        <v>0</v>
      </c>
      <c r="N1594" s="30"/>
      <c r="O1594" s="113">
        <v>5000</v>
      </c>
      <c r="P1594" s="110"/>
    </row>
    <row r="1595" spans="2:16" x14ac:dyDescent="0.35">
      <c r="B1595" s="110" t="s">
        <v>6693</v>
      </c>
      <c r="C1595" s="119" t="s">
        <v>6708</v>
      </c>
      <c r="D1595" s="111">
        <v>45819</v>
      </c>
      <c r="E1595" s="111">
        <v>45819</v>
      </c>
      <c r="F1595" s="111">
        <v>46203</v>
      </c>
      <c r="G1595" s="64" t="s">
        <v>6</v>
      </c>
      <c r="H1595" s="110" t="s">
        <v>6750</v>
      </c>
      <c r="I1595" s="110" t="s">
        <v>6491</v>
      </c>
      <c r="J1595" s="110" t="s">
        <v>5766</v>
      </c>
      <c r="K1595" s="38" t="s">
        <v>2586</v>
      </c>
      <c r="L1595" s="113">
        <v>45000</v>
      </c>
      <c r="M1595" s="30">
        <v>0</v>
      </c>
      <c r="N1595" s="30"/>
      <c r="O1595" s="113">
        <v>45000</v>
      </c>
      <c r="P1595" s="112">
        <v>14.23</v>
      </c>
    </row>
    <row r="1596" spans="2:16" ht="26" x14ac:dyDescent="0.35">
      <c r="B1596" s="110" t="s">
        <v>6694</v>
      </c>
      <c r="C1596" s="119" t="s">
        <v>6709</v>
      </c>
      <c r="D1596" s="111">
        <v>45819</v>
      </c>
      <c r="E1596" s="111">
        <v>45819</v>
      </c>
      <c r="F1596" s="111">
        <v>46934</v>
      </c>
      <c r="G1596" s="64" t="s">
        <v>6</v>
      </c>
      <c r="H1596" s="110" t="s">
        <v>6751</v>
      </c>
      <c r="I1596" s="110" t="s">
        <v>2654</v>
      </c>
      <c r="J1596" s="110" t="s">
        <v>5766</v>
      </c>
      <c r="K1596" s="38" t="s">
        <v>2586</v>
      </c>
      <c r="L1596" s="113">
        <v>74592</v>
      </c>
      <c r="M1596" s="30">
        <v>0</v>
      </c>
      <c r="N1596" s="30"/>
      <c r="O1596" s="113">
        <v>74592</v>
      </c>
      <c r="P1596" s="112">
        <v>3.1</v>
      </c>
    </row>
    <row r="1597" spans="2:16" ht="26" x14ac:dyDescent="0.35">
      <c r="B1597" s="110" t="s">
        <v>6695</v>
      </c>
      <c r="C1597" s="119" t="s">
        <v>6710</v>
      </c>
      <c r="D1597" s="111">
        <v>45819</v>
      </c>
      <c r="E1597" s="111">
        <v>45819</v>
      </c>
      <c r="F1597" s="111">
        <v>46934</v>
      </c>
      <c r="G1597" s="64" t="s">
        <v>6</v>
      </c>
      <c r="H1597" s="110" t="s">
        <v>6751</v>
      </c>
      <c r="I1597" s="110" t="s">
        <v>2654</v>
      </c>
      <c r="J1597" s="110" t="s">
        <v>6495</v>
      </c>
      <c r="K1597" s="43" t="s">
        <v>2583</v>
      </c>
      <c r="L1597" s="113">
        <v>11250</v>
      </c>
      <c r="M1597" s="30">
        <v>0</v>
      </c>
      <c r="N1597" s="30"/>
      <c r="O1597" s="113">
        <v>11250</v>
      </c>
      <c r="P1597" s="112">
        <v>3.1</v>
      </c>
    </row>
    <row r="1598" spans="2:16" x14ac:dyDescent="0.35">
      <c r="B1598" s="110" t="s">
        <v>5788</v>
      </c>
      <c r="C1598" s="119" t="s">
        <v>6711</v>
      </c>
      <c r="D1598" s="111">
        <v>45821</v>
      </c>
      <c r="E1598" s="111">
        <v>45821</v>
      </c>
      <c r="F1598" s="111">
        <v>46185</v>
      </c>
      <c r="G1598" s="64" t="s">
        <v>6</v>
      </c>
      <c r="H1598" s="110" t="s">
        <v>6752</v>
      </c>
      <c r="I1598" s="110" t="s">
        <v>6780</v>
      </c>
      <c r="J1598" s="110" t="s">
        <v>6785</v>
      </c>
      <c r="K1598" s="114" t="s">
        <v>3182</v>
      </c>
      <c r="L1598" s="113">
        <v>10000</v>
      </c>
      <c r="M1598" s="30">
        <v>0</v>
      </c>
      <c r="N1598" s="30"/>
      <c r="O1598" s="113">
        <v>10000</v>
      </c>
      <c r="P1598" s="110"/>
    </row>
    <row r="1599" spans="2:16" ht="26" x14ac:dyDescent="0.35">
      <c r="B1599" s="110" t="s">
        <v>5788</v>
      </c>
      <c r="C1599" s="119" t="s">
        <v>6712</v>
      </c>
      <c r="D1599" s="111">
        <v>45821</v>
      </c>
      <c r="E1599" s="111">
        <v>45821</v>
      </c>
      <c r="F1599" s="111">
        <v>46185</v>
      </c>
      <c r="G1599" s="64" t="s">
        <v>6</v>
      </c>
      <c r="H1599" s="110" t="s">
        <v>6753</v>
      </c>
      <c r="I1599" s="110" t="s">
        <v>6481</v>
      </c>
      <c r="J1599" s="110" t="s">
        <v>6786</v>
      </c>
      <c r="K1599" s="114" t="s">
        <v>3182</v>
      </c>
      <c r="L1599" s="113">
        <v>4000</v>
      </c>
      <c r="M1599" s="30">
        <v>0</v>
      </c>
      <c r="N1599" s="30"/>
      <c r="O1599" s="113">
        <v>4000</v>
      </c>
      <c r="P1599" s="110"/>
    </row>
    <row r="1600" spans="2:16" x14ac:dyDescent="0.35">
      <c r="B1600" s="110" t="s">
        <v>5788</v>
      </c>
      <c r="C1600" s="119" t="s">
        <v>6713</v>
      </c>
      <c r="D1600" s="111">
        <v>45821</v>
      </c>
      <c r="E1600" s="111">
        <v>45821</v>
      </c>
      <c r="F1600" s="111">
        <v>46185</v>
      </c>
      <c r="G1600" s="64" t="s">
        <v>6</v>
      </c>
      <c r="H1600" s="110" t="s">
        <v>6754</v>
      </c>
      <c r="I1600" s="110" t="s">
        <v>2654</v>
      </c>
      <c r="J1600" s="110" t="s">
        <v>6787</v>
      </c>
      <c r="K1600" s="114" t="s">
        <v>3182</v>
      </c>
      <c r="L1600" s="113">
        <v>10000</v>
      </c>
      <c r="M1600" s="30">
        <v>0</v>
      </c>
      <c r="N1600" s="30"/>
      <c r="O1600" s="113">
        <v>10000</v>
      </c>
      <c r="P1600" s="110"/>
    </row>
    <row r="1601" spans="2:16" x14ac:dyDescent="0.35">
      <c r="B1601" s="110" t="s">
        <v>5788</v>
      </c>
      <c r="C1601" s="119" t="s">
        <v>6714</v>
      </c>
      <c r="D1601" s="111">
        <v>45821</v>
      </c>
      <c r="E1601" s="111">
        <v>45821</v>
      </c>
      <c r="F1601" s="111">
        <v>46185</v>
      </c>
      <c r="G1601" s="64" t="s">
        <v>6</v>
      </c>
      <c r="H1601" s="110" t="s">
        <v>6755</v>
      </c>
      <c r="I1601" s="110" t="s">
        <v>2654</v>
      </c>
      <c r="J1601" s="110" t="s">
        <v>6787</v>
      </c>
      <c r="K1601" s="114" t="s">
        <v>3182</v>
      </c>
      <c r="L1601" s="113">
        <v>10000</v>
      </c>
      <c r="M1601" s="30">
        <v>0</v>
      </c>
      <c r="N1601" s="30"/>
      <c r="O1601" s="113">
        <v>10000</v>
      </c>
      <c r="P1601" s="110"/>
    </row>
    <row r="1602" spans="2:16" x14ac:dyDescent="0.35">
      <c r="B1602" s="110" t="s">
        <v>5788</v>
      </c>
      <c r="C1602" s="119" t="s">
        <v>6715</v>
      </c>
      <c r="D1602" s="111">
        <v>45821</v>
      </c>
      <c r="E1602" s="111">
        <v>45821</v>
      </c>
      <c r="F1602" s="111">
        <v>46185</v>
      </c>
      <c r="G1602" s="64" t="s">
        <v>6</v>
      </c>
      <c r="H1602" s="110" t="s">
        <v>6756</v>
      </c>
      <c r="I1602" s="110" t="s">
        <v>6603</v>
      </c>
      <c r="J1602" s="110" t="s">
        <v>6787</v>
      </c>
      <c r="K1602" s="114" t="s">
        <v>3182</v>
      </c>
      <c r="L1602" s="113">
        <v>10000</v>
      </c>
      <c r="M1602" s="30">
        <v>0</v>
      </c>
      <c r="N1602" s="30"/>
      <c r="O1602" s="113">
        <v>10000</v>
      </c>
      <c r="P1602" s="110"/>
    </row>
    <row r="1603" spans="2:16" x14ac:dyDescent="0.35">
      <c r="B1603" s="110" t="s">
        <v>6696</v>
      </c>
      <c r="C1603" s="119" t="s">
        <v>6716</v>
      </c>
      <c r="D1603" s="111">
        <v>45825</v>
      </c>
      <c r="E1603" s="111">
        <v>45825</v>
      </c>
      <c r="F1603" s="111">
        <v>46372</v>
      </c>
      <c r="G1603" s="64" t="s">
        <v>6</v>
      </c>
      <c r="H1603" s="110" t="s">
        <v>3155</v>
      </c>
      <c r="I1603" s="110" t="s">
        <v>6482</v>
      </c>
      <c r="J1603" s="110" t="s">
        <v>6035</v>
      </c>
      <c r="K1603" s="43" t="s">
        <v>5076</v>
      </c>
      <c r="L1603" s="113">
        <v>50000</v>
      </c>
      <c r="M1603" s="30">
        <v>0</v>
      </c>
      <c r="N1603" s="30"/>
      <c r="O1603" s="113">
        <v>50000</v>
      </c>
      <c r="P1603" s="112">
        <v>43.53</v>
      </c>
    </row>
    <row r="1604" spans="2:16" x14ac:dyDescent="0.35">
      <c r="B1604" s="110" t="s">
        <v>6697</v>
      </c>
      <c r="C1604" s="119" t="s">
        <v>6717</v>
      </c>
      <c r="D1604" s="111">
        <v>45825</v>
      </c>
      <c r="E1604" s="111">
        <v>45825</v>
      </c>
      <c r="F1604" s="111">
        <v>47664</v>
      </c>
      <c r="G1604" s="64" t="s">
        <v>6</v>
      </c>
      <c r="H1604" s="110" t="s">
        <v>6757</v>
      </c>
      <c r="I1604" s="110" t="s">
        <v>6492</v>
      </c>
      <c r="J1604" s="110" t="s">
        <v>5766</v>
      </c>
      <c r="K1604" s="38" t="s">
        <v>2586</v>
      </c>
      <c r="L1604" s="113">
        <v>133000</v>
      </c>
      <c r="M1604" s="30">
        <v>0</v>
      </c>
      <c r="N1604" s="30"/>
      <c r="O1604" s="113">
        <v>133000</v>
      </c>
      <c r="P1604" s="112">
        <v>2.0299999999999998</v>
      </c>
    </row>
    <row r="1605" spans="2:16" x14ac:dyDescent="0.35">
      <c r="B1605" s="110" t="s">
        <v>6698</v>
      </c>
      <c r="C1605" s="119" t="s">
        <v>6718</v>
      </c>
      <c r="D1605" s="111">
        <v>45826</v>
      </c>
      <c r="E1605" s="111">
        <v>45826</v>
      </c>
      <c r="F1605" s="111">
        <v>46190</v>
      </c>
      <c r="G1605" s="64" t="s">
        <v>6</v>
      </c>
      <c r="H1605" s="110" t="s">
        <v>6758</v>
      </c>
      <c r="I1605" s="110" t="s">
        <v>2654</v>
      </c>
      <c r="J1605" s="110" t="s">
        <v>6788</v>
      </c>
      <c r="K1605" s="43" t="s">
        <v>4704</v>
      </c>
      <c r="L1605" s="113">
        <v>10000</v>
      </c>
      <c r="M1605" s="30">
        <v>0</v>
      </c>
      <c r="N1605" s="30"/>
      <c r="O1605" s="113">
        <v>10000</v>
      </c>
      <c r="P1605" s="110"/>
    </row>
    <row r="1606" spans="2:16" x14ac:dyDescent="0.35">
      <c r="B1606" s="110" t="s">
        <v>5788</v>
      </c>
      <c r="C1606" s="119" t="s">
        <v>6719</v>
      </c>
      <c r="D1606" s="111">
        <v>45826</v>
      </c>
      <c r="E1606" s="111">
        <v>45826</v>
      </c>
      <c r="F1606" s="111">
        <v>46190</v>
      </c>
      <c r="G1606" s="64" t="s">
        <v>6</v>
      </c>
      <c r="H1606" s="110" t="s">
        <v>6759</v>
      </c>
      <c r="I1606" s="110" t="s">
        <v>6036</v>
      </c>
      <c r="J1606" s="110" t="s">
        <v>6787</v>
      </c>
      <c r="K1606" s="114" t="s">
        <v>3182</v>
      </c>
      <c r="L1606" s="113">
        <v>10000</v>
      </c>
      <c r="M1606" s="30">
        <v>0</v>
      </c>
      <c r="N1606" s="30"/>
      <c r="O1606" s="113">
        <v>10000</v>
      </c>
      <c r="P1606" s="110"/>
    </row>
    <row r="1607" spans="2:16" ht="26" x14ac:dyDescent="0.35">
      <c r="B1607" s="110" t="s">
        <v>5788</v>
      </c>
      <c r="C1607" s="119" t="s">
        <v>6720</v>
      </c>
      <c r="D1607" s="111">
        <v>45826</v>
      </c>
      <c r="E1607" s="111">
        <v>45826</v>
      </c>
      <c r="F1607" s="111">
        <v>46190</v>
      </c>
      <c r="G1607" s="64" t="s">
        <v>6</v>
      </c>
      <c r="H1607" s="110" t="s">
        <v>6760</v>
      </c>
      <c r="I1607" s="110" t="s">
        <v>6603</v>
      </c>
      <c r="J1607" s="110" t="s">
        <v>6787</v>
      </c>
      <c r="K1607" s="114" t="s">
        <v>3182</v>
      </c>
      <c r="L1607" s="113">
        <v>10000</v>
      </c>
      <c r="M1607" s="30">
        <v>0</v>
      </c>
      <c r="N1607" s="30"/>
      <c r="O1607" s="113">
        <v>10000</v>
      </c>
      <c r="P1607" s="110"/>
    </row>
    <row r="1608" spans="2:16" x14ac:dyDescent="0.35">
      <c r="B1608" s="110" t="s">
        <v>5788</v>
      </c>
      <c r="C1608" s="119" t="s">
        <v>6721</v>
      </c>
      <c r="D1608" s="111">
        <v>45826</v>
      </c>
      <c r="E1608" s="111">
        <v>45826</v>
      </c>
      <c r="F1608" s="111">
        <v>46190</v>
      </c>
      <c r="G1608" s="64" t="s">
        <v>6</v>
      </c>
      <c r="H1608" s="110" t="s">
        <v>6761</v>
      </c>
      <c r="I1608" s="110" t="s">
        <v>6036</v>
      </c>
      <c r="J1608" s="110" t="s">
        <v>6787</v>
      </c>
      <c r="K1608" s="43" t="s">
        <v>4704</v>
      </c>
      <c r="L1608" s="113">
        <v>10000</v>
      </c>
      <c r="M1608" s="30">
        <v>0</v>
      </c>
      <c r="N1608" s="30"/>
      <c r="O1608" s="113">
        <v>10000</v>
      </c>
      <c r="P1608" s="110"/>
    </row>
    <row r="1609" spans="2:16" ht="29" x14ac:dyDescent="0.35">
      <c r="B1609" s="110" t="s">
        <v>5788</v>
      </c>
      <c r="C1609" s="119" t="s">
        <v>6722</v>
      </c>
      <c r="D1609" s="111">
        <v>45826</v>
      </c>
      <c r="E1609" s="111">
        <v>45826</v>
      </c>
      <c r="F1609" s="111">
        <v>46190</v>
      </c>
      <c r="G1609" s="64" t="s">
        <v>6</v>
      </c>
      <c r="H1609" s="110" t="s">
        <v>6762</v>
      </c>
      <c r="I1609" s="110" t="s">
        <v>6036</v>
      </c>
      <c r="J1609" s="110" t="s">
        <v>6784</v>
      </c>
      <c r="K1609" s="43" t="s">
        <v>4819</v>
      </c>
      <c r="L1609" s="113">
        <v>5000</v>
      </c>
      <c r="M1609" s="30">
        <v>0</v>
      </c>
      <c r="N1609" s="30"/>
      <c r="O1609" s="113">
        <v>5000</v>
      </c>
      <c r="P1609" s="110"/>
    </row>
    <row r="1610" spans="2:16" x14ac:dyDescent="0.35">
      <c r="B1610" s="110" t="s">
        <v>5788</v>
      </c>
      <c r="C1610" s="119" t="s">
        <v>6723</v>
      </c>
      <c r="D1610" s="111">
        <v>45826</v>
      </c>
      <c r="E1610" s="111">
        <v>45826</v>
      </c>
      <c r="F1610" s="111">
        <v>46190</v>
      </c>
      <c r="G1610" s="64" t="s">
        <v>6</v>
      </c>
      <c r="H1610" s="110" t="s">
        <v>6763</v>
      </c>
      <c r="I1610" s="110" t="s">
        <v>6482</v>
      </c>
      <c r="J1610" s="110" t="s">
        <v>6787</v>
      </c>
      <c r="K1610" s="114" t="s">
        <v>3182</v>
      </c>
      <c r="L1610" s="113">
        <v>10000</v>
      </c>
      <c r="M1610" s="30">
        <v>0</v>
      </c>
      <c r="N1610" s="30"/>
      <c r="O1610" s="113">
        <v>10000</v>
      </c>
      <c r="P1610" s="110"/>
    </row>
    <row r="1611" spans="2:16" ht="29" x14ac:dyDescent="0.35">
      <c r="B1611" s="110" t="s">
        <v>5788</v>
      </c>
      <c r="C1611" s="119" t="s">
        <v>6724</v>
      </c>
      <c r="D1611" s="111">
        <v>45826</v>
      </c>
      <c r="E1611" s="111">
        <v>45826</v>
      </c>
      <c r="F1611" s="111">
        <v>46190</v>
      </c>
      <c r="G1611" s="64" t="s">
        <v>6</v>
      </c>
      <c r="H1611" s="110" t="s">
        <v>6764</v>
      </c>
      <c r="I1611" s="110" t="s">
        <v>6614</v>
      </c>
      <c r="J1611" s="110" t="s">
        <v>6784</v>
      </c>
      <c r="K1611" s="43" t="s">
        <v>4819</v>
      </c>
      <c r="L1611" s="113">
        <v>10000</v>
      </c>
      <c r="M1611" s="30">
        <v>0</v>
      </c>
      <c r="N1611" s="30"/>
      <c r="O1611" s="113">
        <v>10000</v>
      </c>
      <c r="P1611" s="110"/>
    </row>
    <row r="1612" spans="2:16" ht="26" x14ac:dyDescent="0.35">
      <c r="B1612" s="110" t="s">
        <v>5788</v>
      </c>
      <c r="C1612" s="119" t="s">
        <v>6725</v>
      </c>
      <c r="D1612" s="111">
        <v>45826</v>
      </c>
      <c r="E1612" s="111">
        <v>45826</v>
      </c>
      <c r="F1612" s="111">
        <v>46190</v>
      </c>
      <c r="G1612" s="64" t="s">
        <v>6</v>
      </c>
      <c r="H1612" s="110" t="s">
        <v>6765</v>
      </c>
      <c r="I1612" s="110" t="s">
        <v>6482</v>
      </c>
      <c r="J1612" s="110" t="s">
        <v>6787</v>
      </c>
      <c r="K1612" s="114" t="s">
        <v>3182</v>
      </c>
      <c r="L1612" s="113">
        <v>10000</v>
      </c>
      <c r="M1612" s="30">
        <v>0</v>
      </c>
      <c r="N1612" s="30"/>
      <c r="O1612" s="113">
        <v>10000</v>
      </c>
      <c r="P1612" s="110"/>
    </row>
    <row r="1613" spans="2:16" x14ac:dyDescent="0.35">
      <c r="B1613" s="110" t="s">
        <v>5788</v>
      </c>
      <c r="C1613" s="119" t="s">
        <v>6726</v>
      </c>
      <c r="D1613" s="111">
        <v>45826</v>
      </c>
      <c r="E1613" s="111">
        <v>45826</v>
      </c>
      <c r="F1613" s="111">
        <v>46190</v>
      </c>
      <c r="G1613" s="64" t="s">
        <v>6</v>
      </c>
      <c r="H1613" s="110" t="s">
        <v>6766</v>
      </c>
      <c r="I1613" s="110" t="s">
        <v>6036</v>
      </c>
      <c r="J1613" s="110" t="s">
        <v>6787</v>
      </c>
      <c r="K1613" s="114" t="s">
        <v>3182</v>
      </c>
      <c r="L1613" s="113">
        <v>10000</v>
      </c>
      <c r="M1613" s="30">
        <v>0</v>
      </c>
      <c r="N1613" s="30"/>
      <c r="O1613" s="113">
        <v>10000</v>
      </c>
      <c r="P1613" s="110"/>
    </row>
    <row r="1614" spans="2:16" x14ac:dyDescent="0.35">
      <c r="B1614" s="110" t="s">
        <v>6698</v>
      </c>
      <c r="C1614" s="119" t="s">
        <v>6727</v>
      </c>
      <c r="D1614" s="111">
        <v>45826</v>
      </c>
      <c r="E1614" s="111">
        <v>45826</v>
      </c>
      <c r="F1614" s="111">
        <v>46190</v>
      </c>
      <c r="G1614" s="64" t="s">
        <v>6</v>
      </c>
      <c r="H1614" s="110" t="s">
        <v>6767</v>
      </c>
      <c r="I1614" s="110" t="s">
        <v>2654</v>
      </c>
      <c r="J1614" s="110" t="s">
        <v>6788</v>
      </c>
      <c r="K1614" s="43" t="s">
        <v>4704</v>
      </c>
      <c r="L1614" s="113">
        <v>10000</v>
      </c>
      <c r="M1614" s="30">
        <v>0</v>
      </c>
      <c r="N1614" s="30"/>
      <c r="O1614" s="113">
        <v>10000</v>
      </c>
      <c r="P1614" s="110"/>
    </row>
    <row r="1615" spans="2:16" x14ac:dyDescent="0.35">
      <c r="B1615" s="110" t="s">
        <v>6698</v>
      </c>
      <c r="C1615" s="119" t="s">
        <v>6728</v>
      </c>
      <c r="D1615" s="111">
        <v>45826</v>
      </c>
      <c r="E1615" s="111">
        <v>45826</v>
      </c>
      <c r="F1615" s="111">
        <v>46190</v>
      </c>
      <c r="G1615" s="64" t="s">
        <v>6</v>
      </c>
      <c r="H1615" s="110" t="s">
        <v>6768</v>
      </c>
      <c r="I1615" s="110" t="s">
        <v>2654</v>
      </c>
      <c r="J1615" s="110" t="s">
        <v>6788</v>
      </c>
      <c r="K1615" s="43" t="s">
        <v>4704</v>
      </c>
      <c r="L1615" s="113">
        <v>10000</v>
      </c>
      <c r="M1615" s="30">
        <v>0</v>
      </c>
      <c r="N1615" s="30"/>
      <c r="O1615" s="113">
        <v>10000</v>
      </c>
      <c r="P1615" s="110"/>
    </row>
    <row r="1616" spans="2:16" x14ac:dyDescent="0.35">
      <c r="B1616" s="110" t="s">
        <v>5788</v>
      </c>
      <c r="C1616" s="119" t="s">
        <v>6729</v>
      </c>
      <c r="D1616" s="111">
        <v>45826</v>
      </c>
      <c r="E1616" s="111">
        <v>45826</v>
      </c>
      <c r="F1616" s="111">
        <v>46190</v>
      </c>
      <c r="G1616" s="64" t="s">
        <v>6</v>
      </c>
      <c r="H1616" s="110" t="s">
        <v>6769</v>
      </c>
      <c r="I1616" s="110" t="s">
        <v>6488</v>
      </c>
      <c r="J1616" s="110" t="s">
        <v>6787</v>
      </c>
      <c r="K1616" s="114" t="s">
        <v>3182</v>
      </c>
      <c r="L1616" s="113">
        <v>5000</v>
      </c>
      <c r="M1616" s="30">
        <v>0</v>
      </c>
      <c r="N1616" s="30"/>
      <c r="O1616" s="113">
        <v>5000</v>
      </c>
      <c r="P1616" s="110"/>
    </row>
    <row r="1617" spans="2:16" x14ac:dyDescent="0.35">
      <c r="B1617" s="110" t="s">
        <v>5788</v>
      </c>
      <c r="C1617" s="119" t="s">
        <v>6730</v>
      </c>
      <c r="D1617" s="111">
        <v>45826</v>
      </c>
      <c r="E1617" s="111">
        <v>45826</v>
      </c>
      <c r="F1617" s="111">
        <v>46190</v>
      </c>
      <c r="G1617" s="64" t="s">
        <v>6</v>
      </c>
      <c r="H1617" s="110" t="s">
        <v>6770</v>
      </c>
      <c r="I1617" s="110" t="s">
        <v>6492</v>
      </c>
      <c r="J1617" s="110" t="s">
        <v>6787</v>
      </c>
      <c r="K1617" s="114" t="s">
        <v>3182</v>
      </c>
      <c r="L1617" s="113">
        <v>10000</v>
      </c>
      <c r="M1617" s="30">
        <v>0</v>
      </c>
      <c r="N1617" s="30"/>
      <c r="O1617" s="113">
        <v>10000</v>
      </c>
      <c r="P1617" s="110"/>
    </row>
    <row r="1618" spans="2:16" x14ac:dyDescent="0.35">
      <c r="B1618" s="110" t="s">
        <v>6698</v>
      </c>
      <c r="C1618" s="119" t="s">
        <v>6731</v>
      </c>
      <c r="D1618" s="111">
        <v>45826</v>
      </c>
      <c r="E1618" s="111">
        <v>45826</v>
      </c>
      <c r="F1618" s="111">
        <v>46190</v>
      </c>
      <c r="G1618" s="64" t="s">
        <v>6</v>
      </c>
      <c r="H1618" s="110" t="s">
        <v>6771</v>
      </c>
      <c r="I1618" s="110" t="s">
        <v>2654</v>
      </c>
      <c r="J1618" s="110" t="s">
        <v>6788</v>
      </c>
      <c r="K1618" s="43" t="s">
        <v>4704</v>
      </c>
      <c r="L1618" s="113">
        <v>10000</v>
      </c>
      <c r="M1618" s="30">
        <v>0</v>
      </c>
      <c r="N1618" s="30"/>
      <c r="O1618" s="113">
        <v>10000</v>
      </c>
      <c r="P1618" s="110"/>
    </row>
    <row r="1619" spans="2:16" ht="26" x14ac:dyDescent="0.35">
      <c r="B1619" s="110" t="s">
        <v>5788</v>
      </c>
      <c r="C1619" s="119" t="s">
        <v>6732</v>
      </c>
      <c r="D1619" s="111">
        <v>45826</v>
      </c>
      <c r="E1619" s="111">
        <v>45826</v>
      </c>
      <c r="F1619" s="111">
        <v>46190</v>
      </c>
      <c r="G1619" s="64" t="s">
        <v>6</v>
      </c>
      <c r="H1619" s="110" t="s">
        <v>6772</v>
      </c>
      <c r="I1619" s="110" t="s">
        <v>6473</v>
      </c>
      <c r="J1619" s="110" t="s">
        <v>6786</v>
      </c>
      <c r="K1619" s="114" t="s">
        <v>3182</v>
      </c>
      <c r="L1619" s="113">
        <v>4100</v>
      </c>
      <c r="M1619" s="30">
        <v>0</v>
      </c>
      <c r="N1619" s="30"/>
      <c r="O1619" s="113">
        <v>4100</v>
      </c>
      <c r="P1619" s="110"/>
    </row>
    <row r="1620" spans="2:16" ht="29" x14ac:dyDescent="0.35">
      <c r="B1620" s="110" t="s">
        <v>5788</v>
      </c>
      <c r="C1620" s="119" t="s">
        <v>6733</v>
      </c>
      <c r="D1620" s="111">
        <v>45826</v>
      </c>
      <c r="E1620" s="111">
        <v>45826</v>
      </c>
      <c r="F1620" s="111">
        <v>46190</v>
      </c>
      <c r="G1620" s="64" t="s">
        <v>6</v>
      </c>
      <c r="H1620" s="110" t="s">
        <v>6773</v>
      </c>
      <c r="I1620" s="110" t="s">
        <v>6604</v>
      </c>
      <c r="J1620" s="110" t="s">
        <v>6784</v>
      </c>
      <c r="K1620" s="43" t="s">
        <v>4819</v>
      </c>
      <c r="L1620" s="113">
        <v>5000</v>
      </c>
      <c r="M1620" s="30">
        <v>0</v>
      </c>
      <c r="N1620" s="30"/>
      <c r="O1620" s="113">
        <v>5000</v>
      </c>
      <c r="P1620" s="110"/>
    </row>
    <row r="1621" spans="2:16" ht="26" x14ac:dyDescent="0.35">
      <c r="B1621" s="110" t="s">
        <v>6699</v>
      </c>
      <c r="C1621" s="119" t="s">
        <v>6734</v>
      </c>
      <c r="D1621" s="111">
        <v>45826</v>
      </c>
      <c r="E1621" s="111">
        <v>45826</v>
      </c>
      <c r="F1621" s="111">
        <v>46921</v>
      </c>
      <c r="G1621" s="64" t="s">
        <v>6</v>
      </c>
      <c r="H1621" s="110" t="s">
        <v>6774</v>
      </c>
      <c r="I1621" s="110" t="s">
        <v>6781</v>
      </c>
      <c r="J1621" s="110" t="s">
        <v>6495</v>
      </c>
      <c r="K1621" s="43" t="s">
        <v>2583</v>
      </c>
      <c r="L1621" s="113">
        <v>6000</v>
      </c>
      <c r="M1621" s="30">
        <v>0</v>
      </c>
      <c r="N1621" s="30"/>
      <c r="O1621" s="113">
        <v>6000</v>
      </c>
      <c r="P1621" s="112">
        <v>52.44</v>
      </c>
    </row>
    <row r="1622" spans="2:16" x14ac:dyDescent="0.35">
      <c r="B1622" s="110" t="s">
        <v>5976</v>
      </c>
      <c r="C1622" s="119" t="s">
        <v>6735</v>
      </c>
      <c r="D1622" s="111">
        <v>45826</v>
      </c>
      <c r="E1622" s="111">
        <v>45826</v>
      </c>
      <c r="F1622" s="111">
        <v>45838</v>
      </c>
      <c r="G1622" s="64" t="s">
        <v>6</v>
      </c>
      <c r="H1622" s="110" t="s">
        <v>4397</v>
      </c>
      <c r="I1622" s="110" t="s">
        <v>2654</v>
      </c>
      <c r="J1622" s="110" t="s">
        <v>6789</v>
      </c>
      <c r="K1622" s="43" t="s">
        <v>6968</v>
      </c>
      <c r="L1622" s="113">
        <v>70000</v>
      </c>
      <c r="M1622" s="30">
        <v>0</v>
      </c>
      <c r="N1622" s="30">
        <v>27000</v>
      </c>
      <c r="O1622" s="30">
        <f t="shared" ref="O1622" si="40">L1622-M1622-N1622</f>
        <v>43000</v>
      </c>
      <c r="P1622" s="110"/>
    </row>
    <row r="1623" spans="2:16" x14ac:dyDescent="0.35">
      <c r="B1623" s="110" t="s">
        <v>5788</v>
      </c>
      <c r="C1623" s="119" t="s">
        <v>6736</v>
      </c>
      <c r="D1623" s="111">
        <v>45826</v>
      </c>
      <c r="E1623" s="111">
        <v>45826</v>
      </c>
      <c r="F1623" s="111">
        <v>45825</v>
      </c>
      <c r="G1623" s="64" t="s">
        <v>6</v>
      </c>
      <c r="H1623" s="110" t="s">
        <v>6775</v>
      </c>
      <c r="I1623" s="110" t="s">
        <v>6782</v>
      </c>
      <c r="J1623" s="110" t="s">
        <v>6787</v>
      </c>
      <c r="K1623" s="114" t="s">
        <v>3182</v>
      </c>
      <c r="L1623" s="113">
        <v>10000</v>
      </c>
      <c r="M1623" s="30">
        <v>0</v>
      </c>
      <c r="N1623" s="30"/>
      <c r="O1623" s="113">
        <v>10000</v>
      </c>
      <c r="P1623" s="110"/>
    </row>
    <row r="1624" spans="2:16" x14ac:dyDescent="0.35">
      <c r="B1624" s="110" t="s">
        <v>6700</v>
      </c>
      <c r="C1624" s="119" t="s">
        <v>6737</v>
      </c>
      <c r="D1624" s="111">
        <v>45826</v>
      </c>
      <c r="E1624" s="111">
        <v>45826</v>
      </c>
      <c r="F1624" s="111">
        <v>46173</v>
      </c>
      <c r="G1624" s="64" t="s">
        <v>6</v>
      </c>
      <c r="H1624" s="110" t="s">
        <v>4694</v>
      </c>
      <c r="I1624" s="110" t="s">
        <v>6481</v>
      </c>
      <c r="J1624" s="110" t="s">
        <v>6790</v>
      </c>
      <c r="K1624" s="43" t="s">
        <v>2574</v>
      </c>
      <c r="L1624" s="113">
        <v>34000</v>
      </c>
      <c r="M1624" s="30">
        <v>0</v>
      </c>
      <c r="N1624" s="30"/>
      <c r="O1624" s="113">
        <v>34000</v>
      </c>
      <c r="P1624" s="110"/>
    </row>
    <row r="1625" spans="2:16" x14ac:dyDescent="0.35">
      <c r="B1625" s="110" t="s">
        <v>5687</v>
      </c>
      <c r="C1625" s="119" t="s">
        <v>6738</v>
      </c>
      <c r="D1625" s="111">
        <v>45826</v>
      </c>
      <c r="E1625" s="111">
        <v>45826</v>
      </c>
      <c r="F1625" s="111">
        <v>46190</v>
      </c>
      <c r="G1625" s="64" t="s">
        <v>6</v>
      </c>
      <c r="H1625" s="110" t="s">
        <v>5297</v>
      </c>
      <c r="I1625" s="110" t="s">
        <v>6605</v>
      </c>
      <c r="J1625" s="110" t="s">
        <v>5803</v>
      </c>
      <c r="K1625" s="43" t="s">
        <v>2573</v>
      </c>
      <c r="L1625" s="113">
        <v>8583.7099999999991</v>
      </c>
      <c r="M1625" s="30">
        <v>0</v>
      </c>
      <c r="N1625" s="30"/>
      <c r="O1625" s="113">
        <v>8583.7099999999991</v>
      </c>
      <c r="P1625" s="110"/>
    </row>
    <row r="1626" spans="2:16" x14ac:dyDescent="0.35">
      <c r="B1626" s="110" t="s">
        <v>6088</v>
      </c>
      <c r="C1626" s="119" t="s">
        <v>6739</v>
      </c>
      <c r="D1626" s="111">
        <v>45828</v>
      </c>
      <c r="E1626" s="111">
        <v>45828</v>
      </c>
      <c r="F1626" s="111">
        <v>46022</v>
      </c>
      <c r="G1626" s="64" t="s">
        <v>6</v>
      </c>
      <c r="H1626" s="110" t="s">
        <v>6776</v>
      </c>
      <c r="I1626" s="110" t="s">
        <v>6611</v>
      </c>
      <c r="J1626" s="110" t="s">
        <v>6791</v>
      </c>
      <c r="K1626" s="43" t="s">
        <v>3181</v>
      </c>
      <c r="L1626" s="113">
        <v>7500</v>
      </c>
      <c r="M1626" s="30">
        <v>0</v>
      </c>
      <c r="N1626" s="30"/>
      <c r="O1626" s="113">
        <v>7500</v>
      </c>
      <c r="P1626" s="110"/>
    </row>
    <row r="1627" spans="2:16" x14ac:dyDescent="0.35">
      <c r="B1627" s="110" t="s">
        <v>6701</v>
      </c>
      <c r="C1627" s="119" t="s">
        <v>6740</v>
      </c>
      <c r="D1627" s="111">
        <v>45832</v>
      </c>
      <c r="E1627" s="111">
        <v>45832</v>
      </c>
      <c r="F1627" s="111">
        <v>46568</v>
      </c>
      <c r="G1627" s="64" t="s">
        <v>6</v>
      </c>
      <c r="H1627" s="110" t="s">
        <v>6777</v>
      </c>
      <c r="I1627" s="110" t="s">
        <v>6487</v>
      </c>
      <c r="J1627" s="110" t="s">
        <v>5766</v>
      </c>
      <c r="K1627" s="38" t="s">
        <v>2586</v>
      </c>
      <c r="L1627" s="113">
        <v>175500</v>
      </c>
      <c r="M1627" s="30">
        <v>0</v>
      </c>
      <c r="N1627" s="30"/>
      <c r="O1627" s="113">
        <v>175500</v>
      </c>
      <c r="P1627" s="112">
        <v>0.8</v>
      </c>
    </row>
    <row r="1628" spans="2:16" x14ac:dyDescent="0.35">
      <c r="B1628" s="110" t="s">
        <v>6702</v>
      </c>
      <c r="C1628" s="119" t="s">
        <v>6741</v>
      </c>
      <c r="D1628" s="111">
        <v>45832</v>
      </c>
      <c r="E1628" s="111">
        <v>45832</v>
      </c>
      <c r="F1628" s="111">
        <v>46744</v>
      </c>
      <c r="G1628" s="64" t="s">
        <v>6</v>
      </c>
      <c r="H1628" s="110" t="s">
        <v>6777</v>
      </c>
      <c r="I1628" s="110" t="s">
        <v>6487</v>
      </c>
      <c r="J1628" s="110" t="s">
        <v>6035</v>
      </c>
      <c r="K1628" s="43" t="s">
        <v>5076</v>
      </c>
      <c r="L1628" s="113">
        <v>50000</v>
      </c>
      <c r="M1628" s="30">
        <v>0</v>
      </c>
      <c r="N1628" s="30"/>
      <c r="O1628" s="113">
        <v>50000</v>
      </c>
      <c r="P1628" s="112">
        <v>0.8</v>
      </c>
    </row>
    <row r="1629" spans="2:16" x14ac:dyDescent="0.35">
      <c r="B1629" s="110" t="s">
        <v>6703</v>
      </c>
      <c r="C1629" s="119" t="s">
        <v>6742</v>
      </c>
      <c r="D1629" s="111">
        <v>45832</v>
      </c>
      <c r="E1629" s="111">
        <v>45832</v>
      </c>
      <c r="F1629" s="111">
        <v>46927</v>
      </c>
      <c r="G1629" s="64" t="s">
        <v>6</v>
      </c>
      <c r="H1629" s="110" t="s">
        <v>6777</v>
      </c>
      <c r="I1629" s="110" t="s">
        <v>6487</v>
      </c>
      <c r="J1629" s="110" t="s">
        <v>6495</v>
      </c>
      <c r="K1629" s="43" t="s">
        <v>2583</v>
      </c>
      <c r="L1629" s="113">
        <v>23437.5</v>
      </c>
      <c r="M1629" s="30">
        <v>0</v>
      </c>
      <c r="N1629" s="30"/>
      <c r="O1629" s="113">
        <v>23437.5</v>
      </c>
      <c r="P1629" s="112">
        <v>0.8</v>
      </c>
    </row>
    <row r="1630" spans="2:16" x14ac:dyDescent="0.35">
      <c r="B1630" s="110" t="s">
        <v>5648</v>
      </c>
      <c r="C1630" s="119" t="s">
        <v>6743</v>
      </c>
      <c r="D1630" s="111">
        <v>45832</v>
      </c>
      <c r="E1630" s="111">
        <v>45832</v>
      </c>
      <c r="F1630" s="111">
        <v>46203</v>
      </c>
      <c r="G1630" s="64" t="s">
        <v>6</v>
      </c>
      <c r="H1630" s="110" t="s">
        <v>2537</v>
      </c>
      <c r="I1630" s="110" t="s">
        <v>2654</v>
      </c>
      <c r="J1630" s="110" t="s">
        <v>6792</v>
      </c>
      <c r="K1630" s="43" t="s">
        <v>2574</v>
      </c>
      <c r="L1630" s="113">
        <v>80000</v>
      </c>
      <c r="M1630" s="30">
        <v>0</v>
      </c>
      <c r="N1630" s="30"/>
      <c r="O1630" s="113">
        <v>80000</v>
      </c>
      <c r="P1630" s="110"/>
    </row>
    <row r="1631" spans="2:16" x14ac:dyDescent="0.35">
      <c r="B1631" s="110" t="s">
        <v>5648</v>
      </c>
      <c r="C1631" s="119" t="s">
        <v>6744</v>
      </c>
      <c r="D1631" s="111">
        <v>45833</v>
      </c>
      <c r="E1631" s="111">
        <v>45833</v>
      </c>
      <c r="F1631" s="111">
        <v>46022</v>
      </c>
      <c r="G1631" s="64" t="s">
        <v>6</v>
      </c>
      <c r="H1631" s="110" t="s">
        <v>4868</v>
      </c>
      <c r="I1631" s="110" t="s">
        <v>2654</v>
      </c>
      <c r="J1631" s="110" t="s">
        <v>6792</v>
      </c>
      <c r="K1631" s="43" t="s">
        <v>2574</v>
      </c>
      <c r="L1631" s="113">
        <v>25000</v>
      </c>
      <c r="M1631" s="30">
        <v>0</v>
      </c>
      <c r="N1631" s="30"/>
      <c r="O1631" s="113">
        <v>25000</v>
      </c>
      <c r="P1631" s="110"/>
    </row>
    <row r="1632" spans="2:16" x14ac:dyDescent="0.35">
      <c r="B1632" s="110" t="s">
        <v>6704</v>
      </c>
      <c r="C1632" s="119" t="s">
        <v>6745</v>
      </c>
      <c r="D1632" s="111">
        <v>45833</v>
      </c>
      <c r="E1632" s="111">
        <v>45833</v>
      </c>
      <c r="F1632" s="111">
        <v>47658</v>
      </c>
      <c r="G1632" s="64" t="s">
        <v>6</v>
      </c>
      <c r="H1632" s="110" t="s">
        <v>6778</v>
      </c>
      <c r="I1632" s="110" t="s">
        <v>6606</v>
      </c>
      <c r="J1632" s="110" t="s">
        <v>6495</v>
      </c>
      <c r="K1632" s="43" t="s">
        <v>2583</v>
      </c>
      <c r="L1632" s="113">
        <v>15000</v>
      </c>
      <c r="M1632" s="30">
        <v>0</v>
      </c>
      <c r="N1632" s="30"/>
      <c r="O1632" s="113">
        <v>15000</v>
      </c>
      <c r="P1632" s="112">
        <v>5.41</v>
      </c>
    </row>
    <row r="1633" spans="2:16" ht="26" x14ac:dyDescent="0.35">
      <c r="B1633" s="110" t="s">
        <v>6551</v>
      </c>
      <c r="C1633" s="119" t="s">
        <v>6746</v>
      </c>
      <c r="D1633" s="111">
        <v>45835</v>
      </c>
      <c r="E1633" s="111">
        <v>45835</v>
      </c>
      <c r="F1633" s="111">
        <v>46022</v>
      </c>
      <c r="G1633" s="64" t="s">
        <v>6</v>
      </c>
      <c r="H1633" s="110" t="s">
        <v>6779</v>
      </c>
      <c r="I1633" s="110" t="s">
        <v>2654</v>
      </c>
      <c r="J1633" s="110" t="s">
        <v>6793</v>
      </c>
      <c r="K1633" s="43" t="s">
        <v>5670</v>
      </c>
      <c r="L1633" s="113">
        <v>249700</v>
      </c>
      <c r="M1633" s="30">
        <v>0</v>
      </c>
      <c r="N1633" s="30"/>
      <c r="O1633" s="113">
        <v>249700</v>
      </c>
      <c r="P1633" s="76"/>
    </row>
    <row r="1634" spans="2:16" x14ac:dyDescent="0.35">
      <c r="B1634" s="72" t="s">
        <v>6808</v>
      </c>
      <c r="C1634" s="89" t="s">
        <v>6809</v>
      </c>
      <c r="D1634" s="115">
        <v>45540</v>
      </c>
      <c r="E1634" s="36">
        <v>45540</v>
      </c>
      <c r="F1634" s="36">
        <v>46006</v>
      </c>
      <c r="G1634" s="64" t="s">
        <v>6</v>
      </c>
      <c r="H1634" s="72" t="s">
        <v>5757</v>
      </c>
      <c r="I1634" s="35" t="s">
        <v>2528</v>
      </c>
      <c r="J1634" s="43" t="s">
        <v>4490</v>
      </c>
      <c r="K1634" s="43" t="s">
        <v>6810</v>
      </c>
      <c r="L1634" s="73">
        <v>30000</v>
      </c>
      <c r="M1634" s="30">
        <v>0</v>
      </c>
      <c r="N1634" s="30">
        <v>12214.02</v>
      </c>
      <c r="O1634" s="30">
        <f t="shared" ref="O1634" si="41">L1634-M1634-N1634</f>
        <v>17785.98</v>
      </c>
      <c r="P1634" s="44">
        <v>4.7300000000000004</v>
      </c>
    </row>
    <row r="1635" spans="2:16" ht="43.5" x14ac:dyDescent="0.35">
      <c r="B1635" s="72" t="s">
        <v>6811</v>
      </c>
      <c r="C1635" s="89" t="s">
        <v>6812</v>
      </c>
      <c r="D1635" s="115">
        <v>45583</v>
      </c>
      <c r="E1635" s="115">
        <v>45583</v>
      </c>
      <c r="F1635" s="115">
        <v>46203</v>
      </c>
      <c r="G1635" s="64" t="s">
        <v>6</v>
      </c>
      <c r="H1635" s="72" t="s">
        <v>6813</v>
      </c>
      <c r="I1635" s="35" t="s">
        <v>6472</v>
      </c>
      <c r="J1635" s="43" t="s">
        <v>6814</v>
      </c>
      <c r="K1635" s="43" t="s">
        <v>4704</v>
      </c>
      <c r="L1635" s="73">
        <v>155000</v>
      </c>
      <c r="M1635" s="30">
        <v>0</v>
      </c>
      <c r="N1635" s="30">
        <v>125000</v>
      </c>
      <c r="O1635" s="30">
        <f t="shared" ref="O1635:O1697" si="42">L1635-M1635-N1635</f>
        <v>30000</v>
      </c>
      <c r="P1635" s="44"/>
    </row>
    <row r="1636" spans="2:16" ht="29" x14ac:dyDescent="0.35">
      <c r="B1636" s="35" t="s">
        <v>5654</v>
      </c>
      <c r="C1636" s="80" t="s">
        <v>6817</v>
      </c>
      <c r="D1636" s="36">
        <v>45727</v>
      </c>
      <c r="E1636" s="36">
        <v>45727</v>
      </c>
      <c r="F1636" s="36">
        <v>45838</v>
      </c>
      <c r="G1636" s="64" t="s">
        <v>6</v>
      </c>
      <c r="H1636" s="35" t="s">
        <v>5655</v>
      </c>
      <c r="I1636" s="35" t="s">
        <v>2480</v>
      </c>
      <c r="J1636" s="43" t="s">
        <v>5674</v>
      </c>
      <c r="K1636" s="43" t="s">
        <v>5670</v>
      </c>
      <c r="L1636" s="30">
        <v>693875</v>
      </c>
      <c r="M1636" s="30">
        <v>0</v>
      </c>
      <c r="N1636" s="30">
        <f>545536.25</f>
        <v>545536.25</v>
      </c>
      <c r="O1636" s="30">
        <f t="shared" si="42"/>
        <v>148338.75</v>
      </c>
      <c r="P1636" s="44" t="s">
        <v>4704</v>
      </c>
    </row>
    <row r="1637" spans="2:16" x14ac:dyDescent="0.35">
      <c r="B1637" s="128" t="s">
        <v>5648</v>
      </c>
      <c r="C1637" s="98" t="s">
        <v>6837</v>
      </c>
      <c r="D1637" s="121">
        <v>45516</v>
      </c>
      <c r="E1637" s="36">
        <v>45516</v>
      </c>
      <c r="F1637" s="36">
        <v>45838</v>
      </c>
      <c r="G1637" s="64" t="s">
        <v>6</v>
      </c>
      <c r="H1637" s="83" t="s">
        <v>734</v>
      </c>
      <c r="I1637" s="35" t="s">
        <v>2490</v>
      </c>
      <c r="J1637" s="43" t="s">
        <v>6930</v>
      </c>
      <c r="K1637" s="76" t="s">
        <v>4704</v>
      </c>
      <c r="L1637" s="122">
        <v>97500</v>
      </c>
      <c r="M1637" s="30">
        <v>0</v>
      </c>
      <c r="N1637" s="30">
        <v>87500</v>
      </c>
      <c r="O1637" s="30">
        <f t="shared" si="42"/>
        <v>10000</v>
      </c>
      <c r="P1637" s="43"/>
    </row>
    <row r="1638" spans="2:16" x14ac:dyDescent="0.35">
      <c r="B1638" s="76" t="s">
        <v>5796</v>
      </c>
      <c r="C1638" s="98" t="s">
        <v>6838</v>
      </c>
      <c r="D1638" s="121">
        <v>45530</v>
      </c>
      <c r="E1638" s="36">
        <v>45530</v>
      </c>
      <c r="F1638" s="36">
        <v>45473</v>
      </c>
      <c r="G1638" s="64" t="s">
        <v>6</v>
      </c>
      <c r="H1638" s="83" t="s">
        <v>6261</v>
      </c>
      <c r="I1638" s="35" t="s">
        <v>2480</v>
      </c>
      <c r="J1638" s="43" t="s">
        <v>6931</v>
      </c>
      <c r="K1638" s="76" t="s">
        <v>5670</v>
      </c>
      <c r="L1638" s="122">
        <v>835392</v>
      </c>
      <c r="M1638" s="30">
        <v>0</v>
      </c>
      <c r="N1638" s="30">
        <v>589392</v>
      </c>
      <c r="O1638" s="30">
        <f t="shared" si="42"/>
        <v>246000</v>
      </c>
      <c r="P1638" s="43"/>
    </row>
    <row r="1639" spans="2:16" x14ac:dyDescent="0.35">
      <c r="B1639" s="76" t="s">
        <v>5687</v>
      </c>
      <c r="C1639" s="98" t="s">
        <v>6839</v>
      </c>
      <c r="D1639" s="121">
        <v>45532</v>
      </c>
      <c r="E1639" s="36">
        <v>45532</v>
      </c>
      <c r="F1639" s="36">
        <v>45657</v>
      </c>
      <c r="G1639" s="64" t="s">
        <v>6</v>
      </c>
      <c r="H1639" s="83" t="s">
        <v>4137</v>
      </c>
      <c r="I1639" s="35" t="s">
        <v>2480</v>
      </c>
      <c r="J1639" s="43" t="s">
        <v>6932</v>
      </c>
      <c r="K1639" s="43" t="s">
        <v>2573</v>
      </c>
      <c r="L1639" s="122">
        <v>2880</v>
      </c>
      <c r="M1639" s="30">
        <v>0</v>
      </c>
      <c r="N1639" s="30">
        <f>2880</f>
        <v>2880</v>
      </c>
      <c r="O1639" s="30">
        <f t="shared" si="42"/>
        <v>0</v>
      </c>
      <c r="P1639" s="43"/>
    </row>
    <row r="1640" spans="2:16" ht="29" x14ac:dyDescent="0.35">
      <c r="B1640" s="76" t="s">
        <v>5687</v>
      </c>
      <c r="C1640" s="98" t="s">
        <v>6840</v>
      </c>
      <c r="D1640" s="121">
        <v>45534</v>
      </c>
      <c r="E1640" s="36">
        <v>45534</v>
      </c>
      <c r="F1640" s="36">
        <v>45657</v>
      </c>
      <c r="G1640" s="64" t="s">
        <v>6</v>
      </c>
      <c r="H1640" s="83" t="s">
        <v>3608</v>
      </c>
      <c r="I1640" s="35" t="s">
        <v>2480</v>
      </c>
      <c r="J1640" s="43" t="s">
        <v>6933</v>
      </c>
      <c r="K1640" s="43" t="s">
        <v>2573</v>
      </c>
      <c r="L1640" s="122">
        <v>1440</v>
      </c>
      <c r="M1640" s="30">
        <v>0</v>
      </c>
      <c r="N1640" s="30">
        <v>1440</v>
      </c>
      <c r="O1640" s="30">
        <f t="shared" si="42"/>
        <v>0</v>
      </c>
      <c r="P1640" s="43"/>
    </row>
    <row r="1641" spans="2:16" ht="29" x14ac:dyDescent="0.35">
      <c r="B1641" s="76" t="s">
        <v>5687</v>
      </c>
      <c r="C1641" s="98" t="s">
        <v>6841</v>
      </c>
      <c r="D1641" s="121">
        <v>45534</v>
      </c>
      <c r="E1641" s="36">
        <v>45534</v>
      </c>
      <c r="F1641" s="36">
        <v>45657</v>
      </c>
      <c r="G1641" s="64" t="s">
        <v>6</v>
      </c>
      <c r="H1641" s="83" t="s">
        <v>926</v>
      </c>
      <c r="I1641" s="35" t="s">
        <v>2484</v>
      </c>
      <c r="J1641" s="43" t="s">
        <v>6933</v>
      </c>
      <c r="K1641" s="43" t="s">
        <v>2573</v>
      </c>
      <c r="L1641" s="122">
        <v>1440</v>
      </c>
      <c r="M1641" s="30">
        <v>0</v>
      </c>
      <c r="N1641" s="30">
        <v>1440</v>
      </c>
      <c r="O1641" s="30">
        <f t="shared" si="42"/>
        <v>0</v>
      </c>
      <c r="P1641" s="43"/>
    </row>
    <row r="1642" spans="2:16" x14ac:dyDescent="0.35">
      <c r="B1642" s="76" t="s">
        <v>6818</v>
      </c>
      <c r="C1642" s="98" t="s">
        <v>6842</v>
      </c>
      <c r="D1642" s="121">
        <v>45540</v>
      </c>
      <c r="E1642" s="36">
        <v>45540</v>
      </c>
      <c r="F1642" s="36">
        <v>47299</v>
      </c>
      <c r="G1642" s="64" t="s">
        <v>6</v>
      </c>
      <c r="H1642" s="83" t="s">
        <v>5757</v>
      </c>
      <c r="I1642" s="35" t="s">
        <v>2528</v>
      </c>
      <c r="J1642" s="43" t="s">
        <v>6935</v>
      </c>
      <c r="K1642" s="43" t="s">
        <v>2583</v>
      </c>
      <c r="L1642" s="122">
        <v>2250</v>
      </c>
      <c r="M1642" s="30">
        <v>0</v>
      </c>
      <c r="N1642" s="30"/>
      <c r="O1642" s="30">
        <f t="shared" si="42"/>
        <v>2250</v>
      </c>
      <c r="P1642" s="43" t="s">
        <v>6934</v>
      </c>
    </row>
    <row r="1643" spans="2:16" x14ac:dyDescent="0.35">
      <c r="B1643" s="76" t="s">
        <v>6819</v>
      </c>
      <c r="C1643" s="98" t="s">
        <v>6843</v>
      </c>
      <c r="D1643" s="121">
        <v>45582</v>
      </c>
      <c r="E1643" s="36">
        <v>45474</v>
      </c>
      <c r="F1643" s="36">
        <v>46676</v>
      </c>
      <c r="G1643" s="64" t="s">
        <v>6</v>
      </c>
      <c r="H1643" s="83" t="s">
        <v>6898</v>
      </c>
      <c r="I1643" s="35" t="s">
        <v>2543</v>
      </c>
      <c r="J1643" s="43" t="s">
        <v>6937</v>
      </c>
      <c r="K1643" s="43" t="s">
        <v>2583</v>
      </c>
      <c r="L1643" s="122">
        <v>5250</v>
      </c>
      <c r="M1643" s="30">
        <v>0</v>
      </c>
      <c r="N1643" s="30"/>
      <c r="O1643" s="30">
        <f t="shared" si="42"/>
        <v>5250</v>
      </c>
      <c r="P1643" s="43" t="s">
        <v>6936</v>
      </c>
    </row>
    <row r="1644" spans="2:16" x14ac:dyDescent="0.35">
      <c r="B1644" s="76" t="s">
        <v>5687</v>
      </c>
      <c r="C1644" s="98" t="s">
        <v>6844</v>
      </c>
      <c r="D1644" s="121">
        <v>45605</v>
      </c>
      <c r="E1644" s="36">
        <v>45605</v>
      </c>
      <c r="F1644" s="36">
        <v>45657</v>
      </c>
      <c r="G1644" s="64" t="s">
        <v>6</v>
      </c>
      <c r="H1644" s="83" t="s">
        <v>4310</v>
      </c>
      <c r="I1644" s="35" t="s">
        <v>2482</v>
      </c>
      <c r="J1644" s="43" t="s">
        <v>6938</v>
      </c>
      <c r="K1644" s="43" t="s">
        <v>2573</v>
      </c>
      <c r="L1644" s="122">
        <v>4400</v>
      </c>
      <c r="M1644" s="30">
        <v>0</v>
      </c>
      <c r="N1644" s="30"/>
      <c r="O1644" s="30">
        <f t="shared" si="42"/>
        <v>4400</v>
      </c>
      <c r="P1644" s="43"/>
    </row>
    <row r="1645" spans="2:16" x14ac:dyDescent="0.35">
      <c r="B1645" s="76" t="s">
        <v>5831</v>
      </c>
      <c r="C1645" s="98" t="s">
        <v>6845</v>
      </c>
      <c r="D1645" s="121">
        <v>45614</v>
      </c>
      <c r="E1645" s="36">
        <v>45614</v>
      </c>
      <c r="F1645" s="36">
        <v>46709</v>
      </c>
      <c r="G1645" s="64" t="s">
        <v>6</v>
      </c>
      <c r="H1645" s="83" t="s">
        <v>6899</v>
      </c>
      <c r="I1645" s="35" t="s">
        <v>2488</v>
      </c>
      <c r="J1645" s="43" t="s">
        <v>6939</v>
      </c>
      <c r="K1645" s="43" t="s">
        <v>2573</v>
      </c>
      <c r="L1645" s="122">
        <v>1000</v>
      </c>
      <c r="M1645" s="30">
        <v>0</v>
      </c>
      <c r="N1645" s="30">
        <v>1000</v>
      </c>
      <c r="O1645" s="30">
        <f t="shared" si="42"/>
        <v>0</v>
      </c>
      <c r="P1645" s="43"/>
    </row>
    <row r="1646" spans="2:16" x14ac:dyDescent="0.35">
      <c r="B1646" s="76" t="s">
        <v>5788</v>
      </c>
      <c r="C1646" s="98" t="s">
        <v>6846</v>
      </c>
      <c r="D1646" s="121">
        <v>45618</v>
      </c>
      <c r="E1646" s="36">
        <v>45618</v>
      </c>
      <c r="F1646" s="36">
        <v>46163</v>
      </c>
      <c r="G1646" s="64" t="s">
        <v>6</v>
      </c>
      <c r="H1646" s="83" t="s">
        <v>6900</v>
      </c>
      <c r="I1646" s="35" t="s">
        <v>2492</v>
      </c>
      <c r="J1646" s="43" t="s">
        <v>6940</v>
      </c>
      <c r="K1646" s="76" t="s">
        <v>4819</v>
      </c>
      <c r="L1646" s="122">
        <v>5000</v>
      </c>
      <c r="M1646" s="30">
        <v>0</v>
      </c>
      <c r="N1646" s="30">
        <f>800</f>
        <v>800</v>
      </c>
      <c r="O1646" s="30">
        <f t="shared" si="42"/>
        <v>4200</v>
      </c>
      <c r="P1646" s="43"/>
    </row>
    <row r="1647" spans="2:16" ht="29" x14ac:dyDescent="0.35">
      <c r="B1647" s="76" t="s">
        <v>5687</v>
      </c>
      <c r="C1647" s="98" t="s">
        <v>6847</v>
      </c>
      <c r="D1647" s="121">
        <v>45636</v>
      </c>
      <c r="E1647" s="36">
        <v>45636</v>
      </c>
      <c r="F1647" s="36">
        <v>45657</v>
      </c>
      <c r="G1647" s="64" t="s">
        <v>6</v>
      </c>
      <c r="H1647" s="83" t="s">
        <v>68</v>
      </c>
      <c r="I1647" s="35" t="s">
        <v>2498</v>
      </c>
      <c r="J1647" s="43" t="s">
        <v>6938</v>
      </c>
      <c r="K1647" s="43" t="s">
        <v>2573</v>
      </c>
      <c r="L1647" s="122">
        <v>5635</v>
      </c>
      <c r="M1647" s="30">
        <v>0</v>
      </c>
      <c r="N1647" s="30">
        <f>5304</f>
        <v>5304</v>
      </c>
      <c r="O1647" s="30">
        <f t="shared" si="42"/>
        <v>331</v>
      </c>
      <c r="P1647" s="43"/>
    </row>
    <row r="1648" spans="2:16" x14ac:dyDescent="0.35">
      <c r="B1648" s="76" t="s">
        <v>6820</v>
      </c>
      <c r="C1648" s="98" t="s">
        <v>6848</v>
      </c>
      <c r="D1648" s="121">
        <v>45643</v>
      </c>
      <c r="E1648" s="36">
        <v>45643</v>
      </c>
      <c r="F1648" s="36">
        <v>46052</v>
      </c>
      <c r="G1648" s="64" t="s">
        <v>6</v>
      </c>
      <c r="H1648" s="83" t="s">
        <v>2915</v>
      </c>
      <c r="I1648" s="35" t="s">
        <v>2653</v>
      </c>
      <c r="J1648" s="43" t="s">
        <v>6942</v>
      </c>
      <c r="K1648" s="43" t="s">
        <v>2583</v>
      </c>
      <c r="L1648" s="122">
        <v>6562.5</v>
      </c>
      <c r="M1648" s="30">
        <v>0</v>
      </c>
      <c r="N1648" s="30"/>
      <c r="O1648" s="30">
        <f t="shared" si="42"/>
        <v>6562.5</v>
      </c>
      <c r="P1648" s="43" t="s">
        <v>6941</v>
      </c>
    </row>
    <row r="1649" spans="2:16" ht="29" x14ac:dyDescent="0.35">
      <c r="B1649" s="76" t="s">
        <v>5788</v>
      </c>
      <c r="C1649" s="98" t="s">
        <v>6849</v>
      </c>
      <c r="D1649" s="121">
        <v>45652</v>
      </c>
      <c r="E1649" s="36">
        <v>45652</v>
      </c>
      <c r="F1649" s="36">
        <v>46016</v>
      </c>
      <c r="G1649" s="64" t="s">
        <v>6</v>
      </c>
      <c r="H1649" s="83" t="s">
        <v>6901</v>
      </c>
      <c r="I1649" s="35" t="s">
        <v>2804</v>
      </c>
      <c r="J1649" s="43" t="s">
        <v>6943</v>
      </c>
      <c r="K1649" s="76" t="s">
        <v>6663</v>
      </c>
      <c r="L1649" s="122">
        <v>10000</v>
      </c>
      <c r="M1649" s="30">
        <v>0</v>
      </c>
      <c r="N1649" s="30"/>
      <c r="O1649" s="30">
        <f t="shared" si="42"/>
        <v>10000</v>
      </c>
      <c r="P1649" s="43"/>
    </row>
    <row r="1650" spans="2:16" x14ac:dyDescent="0.35">
      <c r="B1650" s="76" t="s">
        <v>6354</v>
      </c>
      <c r="C1650" s="98" t="s">
        <v>6850</v>
      </c>
      <c r="D1650" s="121">
        <v>45804</v>
      </c>
      <c r="E1650" s="36">
        <v>45804</v>
      </c>
      <c r="F1650" s="36">
        <v>46017</v>
      </c>
      <c r="G1650" s="64" t="s">
        <v>6</v>
      </c>
      <c r="H1650" s="83" t="s">
        <v>6902</v>
      </c>
      <c r="I1650" s="35" t="s">
        <v>2480</v>
      </c>
      <c r="J1650" s="43" t="s">
        <v>6944</v>
      </c>
      <c r="K1650" s="76" t="s">
        <v>6929</v>
      </c>
      <c r="L1650" s="122">
        <v>150000</v>
      </c>
      <c r="M1650" s="30">
        <v>0</v>
      </c>
      <c r="N1650" s="30"/>
      <c r="O1650" s="30">
        <f t="shared" si="42"/>
        <v>150000</v>
      </c>
      <c r="P1650" s="43"/>
    </row>
    <row r="1651" spans="2:16" x14ac:dyDescent="0.35">
      <c r="B1651" s="76" t="s">
        <v>5687</v>
      </c>
      <c r="C1651" s="98" t="s">
        <v>6851</v>
      </c>
      <c r="D1651" s="121">
        <v>45707</v>
      </c>
      <c r="E1651" s="36">
        <v>45707</v>
      </c>
      <c r="F1651" s="36">
        <v>45838</v>
      </c>
      <c r="G1651" s="64" t="s">
        <v>6</v>
      </c>
      <c r="H1651" s="83" t="s">
        <v>6903</v>
      </c>
      <c r="I1651" s="35" t="s">
        <v>2782</v>
      </c>
      <c r="J1651" s="43" t="s">
        <v>6938</v>
      </c>
      <c r="K1651" s="43" t="s">
        <v>2573</v>
      </c>
      <c r="L1651" s="122">
        <v>6790</v>
      </c>
      <c r="M1651" s="30">
        <v>0</v>
      </c>
      <c r="N1651" s="30">
        <f>6490</f>
        <v>6490</v>
      </c>
      <c r="O1651" s="30">
        <f t="shared" si="42"/>
        <v>300</v>
      </c>
      <c r="P1651" s="43"/>
    </row>
    <row r="1652" spans="2:16" x14ac:dyDescent="0.35">
      <c r="B1652" s="76" t="s">
        <v>5687</v>
      </c>
      <c r="C1652" s="98" t="s">
        <v>6852</v>
      </c>
      <c r="D1652" s="121">
        <v>45712</v>
      </c>
      <c r="E1652" s="36">
        <v>45712</v>
      </c>
      <c r="F1652" s="36">
        <v>45838</v>
      </c>
      <c r="G1652" s="64" t="s">
        <v>6</v>
      </c>
      <c r="H1652" s="83" t="s">
        <v>926</v>
      </c>
      <c r="I1652" s="35" t="s">
        <v>2484</v>
      </c>
      <c r="J1652" s="43" t="s">
        <v>6945</v>
      </c>
      <c r="K1652" s="43" t="s">
        <v>2573</v>
      </c>
      <c r="L1652" s="122">
        <v>1440</v>
      </c>
      <c r="M1652" s="30">
        <v>0</v>
      </c>
      <c r="N1652" s="30">
        <f>1440</f>
        <v>1440</v>
      </c>
      <c r="O1652" s="30">
        <f t="shared" si="42"/>
        <v>0</v>
      </c>
      <c r="P1652" s="43"/>
    </row>
    <row r="1653" spans="2:16" x14ac:dyDescent="0.35">
      <c r="B1653" s="76" t="s">
        <v>5687</v>
      </c>
      <c r="C1653" s="98" t="s">
        <v>6853</v>
      </c>
      <c r="D1653" s="121">
        <v>45714</v>
      </c>
      <c r="E1653" s="36">
        <v>45714</v>
      </c>
      <c r="F1653" s="36">
        <v>45838</v>
      </c>
      <c r="G1653" s="64" t="s">
        <v>6</v>
      </c>
      <c r="H1653" s="83" t="s">
        <v>6904</v>
      </c>
      <c r="I1653" s="35" t="s">
        <v>2494</v>
      </c>
      <c r="J1653" s="43" t="s">
        <v>6945</v>
      </c>
      <c r="K1653" s="43" t="s">
        <v>2573</v>
      </c>
      <c r="L1653" s="122">
        <v>1440</v>
      </c>
      <c r="M1653" s="30">
        <v>0</v>
      </c>
      <c r="N1653" s="30">
        <v>1440</v>
      </c>
      <c r="O1653" s="30">
        <f t="shared" si="42"/>
        <v>0</v>
      </c>
      <c r="P1653" s="43"/>
    </row>
    <row r="1654" spans="2:16" x14ac:dyDescent="0.35">
      <c r="B1654" s="76" t="s">
        <v>5687</v>
      </c>
      <c r="C1654" s="98" t="s">
        <v>6854</v>
      </c>
      <c r="D1654" s="121">
        <v>45715</v>
      </c>
      <c r="E1654" s="36">
        <v>45715</v>
      </c>
      <c r="F1654" s="36">
        <v>45838</v>
      </c>
      <c r="G1654" s="64" t="s">
        <v>6</v>
      </c>
      <c r="H1654" s="83" t="s">
        <v>6905</v>
      </c>
      <c r="I1654" s="35" t="s">
        <v>2480</v>
      </c>
      <c r="J1654" s="43" t="s">
        <v>6945</v>
      </c>
      <c r="K1654" s="43" t="s">
        <v>2573</v>
      </c>
      <c r="L1654" s="122">
        <v>1440</v>
      </c>
      <c r="M1654" s="30">
        <v>0</v>
      </c>
      <c r="N1654" s="30">
        <f>1440</f>
        <v>1440</v>
      </c>
      <c r="O1654" s="30">
        <f t="shared" si="42"/>
        <v>0</v>
      </c>
      <c r="P1654" s="43"/>
    </row>
    <row r="1655" spans="2:16" x14ac:dyDescent="0.35">
      <c r="B1655" s="76" t="s">
        <v>5687</v>
      </c>
      <c r="C1655" s="98" t="s">
        <v>6855</v>
      </c>
      <c r="D1655" s="121">
        <v>45715</v>
      </c>
      <c r="E1655" s="36">
        <v>45715</v>
      </c>
      <c r="F1655" s="36">
        <v>45838</v>
      </c>
      <c r="G1655" s="64" t="s">
        <v>6</v>
      </c>
      <c r="H1655" s="83" t="s">
        <v>5756</v>
      </c>
      <c r="I1655" s="35" t="s">
        <v>3015</v>
      </c>
      <c r="J1655" s="43" t="s">
        <v>6945</v>
      </c>
      <c r="K1655" s="43" t="s">
        <v>2573</v>
      </c>
      <c r="L1655" s="122">
        <v>1440</v>
      </c>
      <c r="M1655" s="30">
        <v>0</v>
      </c>
      <c r="N1655" s="30">
        <f>1440</f>
        <v>1440</v>
      </c>
      <c r="O1655" s="30">
        <f t="shared" si="42"/>
        <v>0</v>
      </c>
      <c r="P1655" s="43"/>
    </row>
    <row r="1656" spans="2:16" x14ac:dyDescent="0.35">
      <c r="B1656" s="76" t="s">
        <v>5687</v>
      </c>
      <c r="C1656" s="98" t="s">
        <v>6856</v>
      </c>
      <c r="D1656" s="121">
        <v>45715</v>
      </c>
      <c r="E1656" s="36">
        <v>45715</v>
      </c>
      <c r="F1656" s="36">
        <v>45838</v>
      </c>
      <c r="G1656" s="64" t="s">
        <v>6</v>
      </c>
      <c r="H1656" s="83" t="s">
        <v>4890</v>
      </c>
      <c r="I1656" s="35" t="s">
        <v>2494</v>
      </c>
      <c r="J1656" s="43" t="s">
        <v>6945</v>
      </c>
      <c r="K1656" s="43" t="s">
        <v>2573</v>
      </c>
      <c r="L1656" s="122">
        <v>1440</v>
      </c>
      <c r="M1656" s="30"/>
      <c r="N1656" s="30">
        <v>1420</v>
      </c>
      <c r="O1656" s="30">
        <f t="shared" si="42"/>
        <v>20</v>
      </c>
      <c r="P1656" s="43"/>
    </row>
    <row r="1657" spans="2:16" x14ac:dyDescent="0.35">
      <c r="B1657" s="76" t="s">
        <v>5687</v>
      </c>
      <c r="C1657" s="98" t="s">
        <v>6857</v>
      </c>
      <c r="D1657" s="121">
        <v>45715</v>
      </c>
      <c r="E1657" s="36">
        <v>45715</v>
      </c>
      <c r="F1657" s="36">
        <v>45838</v>
      </c>
      <c r="G1657" s="64" t="s">
        <v>6</v>
      </c>
      <c r="H1657" s="83" t="s">
        <v>6906</v>
      </c>
      <c r="I1657" s="35" t="s">
        <v>2494</v>
      </c>
      <c r="J1657" s="43" t="s">
        <v>6945</v>
      </c>
      <c r="K1657" s="43" t="s">
        <v>2573</v>
      </c>
      <c r="L1657" s="122">
        <v>1440</v>
      </c>
      <c r="M1657" s="30">
        <v>0</v>
      </c>
      <c r="N1657" s="30">
        <v>1440</v>
      </c>
      <c r="O1657" s="30">
        <f t="shared" si="42"/>
        <v>0</v>
      </c>
      <c r="P1657" s="43"/>
    </row>
    <row r="1658" spans="2:16" x14ac:dyDescent="0.35">
      <c r="B1658" s="76" t="s">
        <v>5687</v>
      </c>
      <c r="C1658" s="98" t="s">
        <v>6858</v>
      </c>
      <c r="D1658" s="121">
        <v>45715</v>
      </c>
      <c r="E1658" s="36">
        <v>45715</v>
      </c>
      <c r="F1658" s="36">
        <v>45838</v>
      </c>
      <c r="G1658" s="64" t="s">
        <v>6</v>
      </c>
      <c r="H1658" s="83" t="s">
        <v>39</v>
      </c>
      <c r="I1658" s="35" t="s">
        <v>2481</v>
      </c>
      <c r="J1658" s="43" t="s">
        <v>6945</v>
      </c>
      <c r="K1658" s="43" t="s">
        <v>2573</v>
      </c>
      <c r="L1658" s="122">
        <v>1440</v>
      </c>
      <c r="M1658" s="30">
        <v>0</v>
      </c>
      <c r="N1658" s="30">
        <v>1440</v>
      </c>
      <c r="O1658" s="30">
        <f t="shared" si="42"/>
        <v>0</v>
      </c>
      <c r="P1658" s="43"/>
    </row>
    <row r="1659" spans="2:16" x14ac:dyDescent="0.35">
      <c r="B1659" s="76" t="s">
        <v>5687</v>
      </c>
      <c r="C1659" s="98" t="s">
        <v>6859</v>
      </c>
      <c r="D1659" s="121">
        <v>45715</v>
      </c>
      <c r="E1659" s="36">
        <v>45715</v>
      </c>
      <c r="F1659" s="36">
        <v>45838</v>
      </c>
      <c r="G1659" s="64" t="s">
        <v>6</v>
      </c>
      <c r="H1659" s="83" t="s">
        <v>4143</v>
      </c>
      <c r="I1659" s="35" t="s">
        <v>2500</v>
      </c>
      <c r="J1659" s="43" t="s">
        <v>6945</v>
      </c>
      <c r="K1659" s="43" t="s">
        <v>2573</v>
      </c>
      <c r="L1659" s="122">
        <v>1440</v>
      </c>
      <c r="M1659" s="30">
        <v>0</v>
      </c>
      <c r="N1659" s="30">
        <v>1440</v>
      </c>
      <c r="O1659" s="30">
        <f t="shared" si="42"/>
        <v>0</v>
      </c>
      <c r="P1659" s="43"/>
    </row>
    <row r="1660" spans="2:16" x14ac:dyDescent="0.35">
      <c r="B1660" s="76" t="s">
        <v>5687</v>
      </c>
      <c r="C1660" s="98" t="s">
        <v>6860</v>
      </c>
      <c r="D1660" s="121">
        <v>45715</v>
      </c>
      <c r="E1660" s="36">
        <v>45715</v>
      </c>
      <c r="F1660" s="36">
        <v>45838</v>
      </c>
      <c r="G1660" s="64" t="s">
        <v>6</v>
      </c>
      <c r="H1660" s="83" t="s">
        <v>136</v>
      </c>
      <c r="I1660" s="35" t="s">
        <v>2501</v>
      </c>
      <c r="J1660" s="43" t="s">
        <v>6945</v>
      </c>
      <c r="K1660" s="43" t="s">
        <v>2573</v>
      </c>
      <c r="L1660" s="122">
        <v>1440</v>
      </c>
      <c r="M1660" s="30">
        <v>0</v>
      </c>
      <c r="N1660" s="30">
        <v>1440</v>
      </c>
      <c r="O1660" s="30">
        <f t="shared" si="42"/>
        <v>0</v>
      </c>
      <c r="P1660" s="43"/>
    </row>
    <row r="1661" spans="2:16" ht="29" x14ac:dyDescent="0.35">
      <c r="B1661" s="76" t="s">
        <v>5788</v>
      </c>
      <c r="C1661" s="98" t="s">
        <v>6861</v>
      </c>
      <c r="D1661" s="121">
        <v>45715</v>
      </c>
      <c r="E1661" s="36">
        <v>45715</v>
      </c>
      <c r="F1661" s="36">
        <v>46079</v>
      </c>
      <c r="G1661" s="64" t="s">
        <v>6</v>
      </c>
      <c r="H1661" s="83" t="s">
        <v>6907</v>
      </c>
      <c r="I1661" s="35" t="s">
        <v>2490</v>
      </c>
      <c r="J1661" s="43" t="s">
        <v>6946</v>
      </c>
      <c r="K1661" s="76" t="s">
        <v>4704</v>
      </c>
      <c r="L1661" s="122">
        <v>5000</v>
      </c>
      <c r="M1661" s="30">
        <v>0</v>
      </c>
      <c r="N1661" s="30">
        <v>750</v>
      </c>
      <c r="O1661" s="30">
        <f t="shared" si="42"/>
        <v>4250</v>
      </c>
      <c r="P1661" s="43"/>
    </row>
    <row r="1662" spans="2:16" ht="29" x14ac:dyDescent="0.35">
      <c r="B1662" s="76" t="s">
        <v>5788</v>
      </c>
      <c r="C1662" s="98" t="s">
        <v>6862</v>
      </c>
      <c r="D1662" s="121">
        <v>45715</v>
      </c>
      <c r="E1662" s="36">
        <v>45715</v>
      </c>
      <c r="F1662" s="36">
        <v>46079</v>
      </c>
      <c r="G1662" s="64" t="s">
        <v>6</v>
      </c>
      <c r="H1662" s="83" t="s">
        <v>6908</v>
      </c>
      <c r="I1662" s="35" t="s">
        <v>6111</v>
      </c>
      <c r="J1662" s="43" t="s">
        <v>6943</v>
      </c>
      <c r="K1662" s="76" t="s">
        <v>6663</v>
      </c>
      <c r="L1662" s="122">
        <v>5000</v>
      </c>
      <c r="M1662" s="30">
        <v>0</v>
      </c>
      <c r="N1662" s="30">
        <v>5000</v>
      </c>
      <c r="O1662" s="30">
        <f t="shared" si="42"/>
        <v>0</v>
      </c>
      <c r="P1662" s="43"/>
    </row>
    <row r="1663" spans="2:16" x14ac:dyDescent="0.35">
      <c r="B1663" s="76" t="s">
        <v>5687</v>
      </c>
      <c r="C1663" s="98" t="s">
        <v>6863</v>
      </c>
      <c r="D1663" s="121">
        <v>45723</v>
      </c>
      <c r="E1663" s="36">
        <v>45723</v>
      </c>
      <c r="F1663" s="36">
        <v>45838</v>
      </c>
      <c r="G1663" s="64" t="s">
        <v>6</v>
      </c>
      <c r="H1663" s="83" t="s">
        <v>87</v>
      </c>
      <c r="I1663" s="35" t="s">
        <v>2477</v>
      </c>
      <c r="J1663" s="43" t="s">
        <v>6938</v>
      </c>
      <c r="K1663" s="43" t="s">
        <v>2573</v>
      </c>
      <c r="L1663" s="122">
        <v>1440</v>
      </c>
      <c r="M1663" s="30">
        <v>0</v>
      </c>
      <c r="N1663" s="30">
        <v>1440</v>
      </c>
      <c r="O1663" s="30">
        <f t="shared" si="42"/>
        <v>0</v>
      </c>
      <c r="P1663" s="43"/>
    </row>
    <row r="1664" spans="2:16" x14ac:dyDescent="0.35">
      <c r="B1664" s="76" t="s">
        <v>5687</v>
      </c>
      <c r="C1664" s="98" t="s">
        <v>6864</v>
      </c>
      <c r="D1664" s="121">
        <v>45723</v>
      </c>
      <c r="E1664" s="36">
        <v>45723</v>
      </c>
      <c r="F1664" s="36">
        <v>45838</v>
      </c>
      <c r="G1664" s="64" t="s">
        <v>6</v>
      </c>
      <c r="H1664" s="83" t="s">
        <v>6909</v>
      </c>
      <c r="I1664" s="35" t="s">
        <v>2496</v>
      </c>
      <c r="J1664" s="43" t="s">
        <v>6938</v>
      </c>
      <c r="K1664" s="43" t="s">
        <v>2573</v>
      </c>
      <c r="L1664" s="122">
        <v>1440</v>
      </c>
      <c r="M1664" s="30">
        <v>0</v>
      </c>
      <c r="N1664" s="30">
        <v>1440</v>
      </c>
      <c r="O1664" s="30">
        <f t="shared" si="42"/>
        <v>0</v>
      </c>
      <c r="P1664" s="43"/>
    </row>
    <row r="1665" spans="2:16" x14ac:dyDescent="0.35">
      <c r="B1665" s="76" t="s">
        <v>5687</v>
      </c>
      <c r="C1665" s="98" t="s">
        <v>6865</v>
      </c>
      <c r="D1665" s="121">
        <v>45723</v>
      </c>
      <c r="E1665" s="36">
        <v>45723</v>
      </c>
      <c r="F1665" s="36">
        <v>45838</v>
      </c>
      <c r="G1665" s="64" t="s">
        <v>6</v>
      </c>
      <c r="H1665" s="83" t="s">
        <v>6910</v>
      </c>
      <c r="I1665" s="35" t="s">
        <v>2480</v>
      </c>
      <c r="J1665" s="43" t="s">
        <v>6938</v>
      </c>
      <c r="K1665" s="43" t="s">
        <v>2573</v>
      </c>
      <c r="L1665" s="122">
        <v>1440</v>
      </c>
      <c r="M1665" s="30">
        <v>0</v>
      </c>
      <c r="N1665" s="30">
        <v>1440</v>
      </c>
      <c r="O1665" s="30">
        <f t="shared" si="42"/>
        <v>0</v>
      </c>
      <c r="P1665" s="43"/>
    </row>
    <row r="1666" spans="2:16" x14ac:dyDescent="0.35">
      <c r="B1666" s="76" t="s">
        <v>5687</v>
      </c>
      <c r="C1666" s="98" t="s">
        <v>6866</v>
      </c>
      <c r="D1666" s="121">
        <v>45723</v>
      </c>
      <c r="E1666" s="36">
        <v>45723</v>
      </c>
      <c r="F1666" s="36">
        <v>45838</v>
      </c>
      <c r="G1666" s="64" t="s">
        <v>6</v>
      </c>
      <c r="H1666" s="83" t="s">
        <v>6911</v>
      </c>
      <c r="I1666" s="35" t="s">
        <v>2804</v>
      </c>
      <c r="J1666" s="43" t="s">
        <v>6938</v>
      </c>
      <c r="K1666" s="43" t="s">
        <v>2573</v>
      </c>
      <c r="L1666" s="122">
        <v>1440</v>
      </c>
      <c r="M1666" s="30">
        <v>0</v>
      </c>
      <c r="N1666" s="30">
        <v>1440</v>
      </c>
      <c r="O1666" s="30">
        <f t="shared" si="42"/>
        <v>0</v>
      </c>
      <c r="P1666" s="43"/>
    </row>
    <row r="1667" spans="2:16" x14ac:dyDescent="0.35">
      <c r="B1667" s="76" t="s">
        <v>5687</v>
      </c>
      <c r="C1667" s="98" t="s">
        <v>6867</v>
      </c>
      <c r="D1667" s="121">
        <v>45723</v>
      </c>
      <c r="E1667" s="36">
        <v>45723</v>
      </c>
      <c r="F1667" s="36">
        <v>45838</v>
      </c>
      <c r="G1667" s="64" t="s">
        <v>6</v>
      </c>
      <c r="H1667" s="83" t="s">
        <v>6912</v>
      </c>
      <c r="I1667" s="35" t="s">
        <v>2480</v>
      </c>
      <c r="J1667" s="43" t="s">
        <v>6938</v>
      </c>
      <c r="K1667" s="43" t="s">
        <v>2573</v>
      </c>
      <c r="L1667" s="122">
        <v>1440</v>
      </c>
      <c r="M1667" s="30">
        <v>0</v>
      </c>
      <c r="N1667" s="30">
        <v>1440</v>
      </c>
      <c r="O1667" s="30">
        <f t="shared" si="42"/>
        <v>0</v>
      </c>
      <c r="P1667" s="43"/>
    </row>
    <row r="1668" spans="2:16" ht="21.5" x14ac:dyDescent="0.35">
      <c r="B1668" s="76" t="s">
        <v>6821</v>
      </c>
      <c r="C1668" s="98" t="s">
        <v>6868</v>
      </c>
      <c r="D1668" s="121">
        <v>45723</v>
      </c>
      <c r="E1668" s="36">
        <v>45723</v>
      </c>
      <c r="F1668" s="36">
        <v>46818</v>
      </c>
      <c r="G1668" s="64" t="s">
        <v>6</v>
      </c>
      <c r="H1668" s="83" t="s">
        <v>1405</v>
      </c>
      <c r="I1668" s="35" t="s">
        <v>2497</v>
      </c>
      <c r="J1668" s="124" t="s">
        <v>6947</v>
      </c>
      <c r="K1668" s="43" t="s">
        <v>2583</v>
      </c>
      <c r="L1668" s="122">
        <v>10000</v>
      </c>
      <c r="M1668" s="30">
        <v>0</v>
      </c>
      <c r="N1668" s="30"/>
      <c r="O1668" s="30">
        <f t="shared" si="42"/>
        <v>10000</v>
      </c>
      <c r="P1668" s="43" t="s">
        <v>6502</v>
      </c>
    </row>
    <row r="1669" spans="2:16" x14ac:dyDescent="0.35">
      <c r="B1669" s="76" t="s">
        <v>5687</v>
      </c>
      <c r="C1669" s="98" t="s">
        <v>6869</v>
      </c>
      <c r="D1669" s="121">
        <v>45729</v>
      </c>
      <c r="E1669" s="36">
        <v>45729</v>
      </c>
      <c r="F1669" s="36">
        <v>45838</v>
      </c>
      <c r="G1669" s="64" t="s">
        <v>6</v>
      </c>
      <c r="H1669" s="83" t="s">
        <v>6913</v>
      </c>
      <c r="I1669" s="35" t="s">
        <v>2642</v>
      </c>
      <c r="J1669" s="43" t="s">
        <v>6938</v>
      </c>
      <c r="K1669" s="43" t="s">
        <v>2573</v>
      </c>
      <c r="L1669" s="122">
        <v>1440</v>
      </c>
      <c r="M1669" s="30">
        <v>0</v>
      </c>
      <c r="N1669" s="30">
        <v>1440</v>
      </c>
      <c r="O1669" s="30">
        <f t="shared" si="42"/>
        <v>0</v>
      </c>
      <c r="P1669" s="43"/>
    </row>
    <row r="1670" spans="2:16" x14ac:dyDescent="0.35">
      <c r="B1670" s="76" t="s">
        <v>5687</v>
      </c>
      <c r="C1670" s="98" t="s">
        <v>6870</v>
      </c>
      <c r="D1670" s="121">
        <v>45739</v>
      </c>
      <c r="E1670" s="36">
        <v>45739</v>
      </c>
      <c r="F1670" s="36">
        <v>45838</v>
      </c>
      <c r="G1670" s="64" t="s">
        <v>6</v>
      </c>
      <c r="H1670" s="83" t="s">
        <v>6914</v>
      </c>
      <c r="I1670" s="35" t="s">
        <v>2490</v>
      </c>
      <c r="J1670" s="43" t="s">
        <v>6938</v>
      </c>
      <c r="K1670" s="43" t="s">
        <v>2573</v>
      </c>
      <c r="L1670" s="122">
        <v>1440</v>
      </c>
      <c r="M1670" s="30">
        <v>0</v>
      </c>
      <c r="N1670" s="30">
        <v>1440</v>
      </c>
      <c r="O1670" s="30">
        <f t="shared" si="42"/>
        <v>0</v>
      </c>
      <c r="P1670" s="43"/>
    </row>
    <row r="1671" spans="2:16" ht="29" x14ac:dyDescent="0.35">
      <c r="B1671" s="76" t="s">
        <v>5788</v>
      </c>
      <c r="C1671" s="98" t="s">
        <v>6871</v>
      </c>
      <c r="D1671" s="121">
        <v>45783</v>
      </c>
      <c r="E1671" s="36">
        <v>45783</v>
      </c>
      <c r="F1671" s="36">
        <v>46147</v>
      </c>
      <c r="G1671" s="64" t="s">
        <v>6</v>
      </c>
      <c r="H1671" s="83" t="s">
        <v>6967</v>
      </c>
      <c r="I1671" s="35" t="s">
        <v>2480</v>
      </c>
      <c r="J1671" s="43" t="s">
        <v>6943</v>
      </c>
      <c r="K1671" s="76" t="s">
        <v>4704</v>
      </c>
      <c r="L1671" s="122">
        <v>25000</v>
      </c>
      <c r="M1671" s="30">
        <v>0</v>
      </c>
      <c r="N1671" s="30">
        <v>12500</v>
      </c>
      <c r="O1671" s="30">
        <f t="shared" si="42"/>
        <v>12500</v>
      </c>
      <c r="P1671" s="43"/>
    </row>
    <row r="1672" spans="2:16" x14ac:dyDescent="0.35">
      <c r="B1672" s="76" t="s">
        <v>5831</v>
      </c>
      <c r="C1672" s="98" t="s">
        <v>6872</v>
      </c>
      <c r="D1672" s="121">
        <v>45783</v>
      </c>
      <c r="E1672" s="36">
        <v>45783</v>
      </c>
      <c r="F1672" s="36">
        <v>45838</v>
      </c>
      <c r="G1672" s="64" t="s">
        <v>6</v>
      </c>
      <c r="H1672" s="83" t="s">
        <v>6915</v>
      </c>
      <c r="I1672" s="35" t="s">
        <v>2804</v>
      </c>
      <c r="J1672" s="43" t="s">
        <v>6945</v>
      </c>
      <c r="K1672" s="43" t="s">
        <v>2573</v>
      </c>
      <c r="L1672" s="122">
        <v>1000</v>
      </c>
      <c r="M1672" s="30">
        <v>0</v>
      </c>
      <c r="N1672" s="30"/>
      <c r="O1672" s="30">
        <f t="shared" si="42"/>
        <v>1000</v>
      </c>
      <c r="P1672" s="43"/>
    </row>
    <row r="1673" spans="2:16" ht="29" x14ac:dyDescent="0.35">
      <c r="B1673" s="76" t="s">
        <v>5788</v>
      </c>
      <c r="C1673" s="98" t="s">
        <v>6873</v>
      </c>
      <c r="D1673" s="121">
        <v>45791</v>
      </c>
      <c r="E1673" s="36">
        <v>45791</v>
      </c>
      <c r="F1673" s="36">
        <v>46155</v>
      </c>
      <c r="G1673" s="64" t="s">
        <v>6</v>
      </c>
      <c r="H1673" s="83" t="s">
        <v>6628</v>
      </c>
      <c r="I1673" s="35" t="s">
        <v>2480</v>
      </c>
      <c r="J1673" s="43" t="s">
        <v>6943</v>
      </c>
      <c r="K1673" s="76" t="s">
        <v>4704</v>
      </c>
      <c r="L1673" s="122">
        <v>10000</v>
      </c>
      <c r="M1673" s="30">
        <v>0</v>
      </c>
      <c r="N1673" s="30"/>
      <c r="O1673" s="30">
        <f t="shared" si="42"/>
        <v>10000</v>
      </c>
      <c r="P1673" s="43"/>
    </row>
    <row r="1674" spans="2:16" x14ac:dyDescent="0.35">
      <c r="B1674" s="76" t="s">
        <v>5648</v>
      </c>
      <c r="C1674" s="98" t="s">
        <v>6874</v>
      </c>
      <c r="D1674" s="121">
        <v>45793</v>
      </c>
      <c r="E1674" s="36">
        <v>45793</v>
      </c>
      <c r="F1674" s="36">
        <v>45838</v>
      </c>
      <c r="G1674" s="64" t="s">
        <v>6</v>
      </c>
      <c r="H1674" s="83" t="s">
        <v>6916</v>
      </c>
      <c r="I1674" s="35" t="s">
        <v>2480</v>
      </c>
      <c r="J1674" s="35" t="s">
        <v>6948</v>
      </c>
      <c r="K1674" s="76" t="s">
        <v>4704</v>
      </c>
      <c r="L1674" s="122">
        <v>5000</v>
      </c>
      <c r="M1674" s="30">
        <v>0</v>
      </c>
      <c r="N1674" s="30">
        <v>5000</v>
      </c>
      <c r="O1674" s="30">
        <f t="shared" si="42"/>
        <v>0</v>
      </c>
      <c r="P1674" s="43"/>
    </row>
    <row r="1675" spans="2:16" x14ac:dyDescent="0.35">
      <c r="B1675" s="76" t="s">
        <v>5831</v>
      </c>
      <c r="C1675" s="98" t="s">
        <v>6875</v>
      </c>
      <c r="D1675" s="121">
        <v>45793</v>
      </c>
      <c r="E1675" s="36">
        <v>45793</v>
      </c>
      <c r="F1675" s="36">
        <v>45838</v>
      </c>
      <c r="G1675" s="64" t="s">
        <v>6</v>
      </c>
      <c r="H1675" s="83" t="s">
        <v>6917</v>
      </c>
      <c r="I1675" s="35" t="s">
        <v>3011</v>
      </c>
      <c r="J1675" s="43" t="s">
        <v>6945</v>
      </c>
      <c r="K1675" s="43" t="s">
        <v>2573</v>
      </c>
      <c r="L1675" s="122">
        <v>1000</v>
      </c>
      <c r="M1675" s="30">
        <v>0</v>
      </c>
      <c r="N1675" s="30">
        <v>1000</v>
      </c>
      <c r="O1675" s="30">
        <f t="shared" si="42"/>
        <v>0</v>
      </c>
      <c r="P1675" s="43"/>
    </row>
    <row r="1676" spans="2:16" ht="29" x14ac:dyDescent="0.35">
      <c r="B1676" s="76" t="s">
        <v>6822</v>
      </c>
      <c r="C1676" s="98" t="s">
        <v>6876</v>
      </c>
      <c r="D1676" s="121">
        <v>45799</v>
      </c>
      <c r="E1676" s="36">
        <v>45799</v>
      </c>
      <c r="F1676" s="36">
        <v>45838</v>
      </c>
      <c r="G1676" s="64" t="s">
        <v>6</v>
      </c>
      <c r="H1676" s="83" t="s">
        <v>6918</v>
      </c>
      <c r="I1676" s="35" t="s">
        <v>2480</v>
      </c>
      <c r="J1676" s="43" t="s">
        <v>6938</v>
      </c>
      <c r="K1676" s="76" t="s">
        <v>4704</v>
      </c>
      <c r="L1676" s="122">
        <v>100000</v>
      </c>
      <c r="M1676" s="30">
        <v>0</v>
      </c>
      <c r="N1676" s="30">
        <v>100000</v>
      </c>
      <c r="O1676" s="30">
        <f t="shared" si="42"/>
        <v>0</v>
      </c>
      <c r="P1676" s="43"/>
    </row>
    <row r="1677" spans="2:16" ht="29" x14ac:dyDescent="0.35">
      <c r="B1677" s="76" t="s">
        <v>5788</v>
      </c>
      <c r="C1677" s="98" t="s">
        <v>6877</v>
      </c>
      <c r="D1677" s="121">
        <v>45804</v>
      </c>
      <c r="E1677" s="36">
        <v>45804</v>
      </c>
      <c r="F1677" s="36">
        <v>46168</v>
      </c>
      <c r="G1677" s="64" t="s">
        <v>6</v>
      </c>
      <c r="H1677" s="83" t="s">
        <v>6919</v>
      </c>
      <c r="I1677" s="35" t="s">
        <v>5943</v>
      </c>
      <c r="J1677" s="43" t="s">
        <v>6943</v>
      </c>
      <c r="K1677" s="76" t="s">
        <v>4704</v>
      </c>
      <c r="L1677" s="122">
        <v>10000</v>
      </c>
      <c r="M1677" s="30">
        <v>0</v>
      </c>
      <c r="N1677" s="30"/>
      <c r="O1677" s="30">
        <f t="shared" si="42"/>
        <v>10000</v>
      </c>
      <c r="P1677" s="43"/>
    </row>
    <row r="1678" spans="2:16" ht="29" x14ac:dyDescent="0.35">
      <c r="B1678" s="76" t="s">
        <v>5788</v>
      </c>
      <c r="C1678" s="98" t="s">
        <v>6878</v>
      </c>
      <c r="D1678" s="121">
        <v>45804</v>
      </c>
      <c r="E1678" s="36">
        <v>45804</v>
      </c>
      <c r="F1678" s="36">
        <v>46168</v>
      </c>
      <c r="G1678" s="64" t="s">
        <v>6</v>
      </c>
      <c r="H1678" s="83" t="s">
        <v>6920</v>
      </c>
      <c r="I1678" s="35" t="s">
        <v>2917</v>
      </c>
      <c r="J1678" s="43" t="s">
        <v>6943</v>
      </c>
      <c r="K1678" s="76" t="s">
        <v>4704</v>
      </c>
      <c r="L1678" s="122">
        <v>6000</v>
      </c>
      <c r="M1678" s="30">
        <v>0</v>
      </c>
      <c r="N1678" s="30"/>
      <c r="O1678" s="30">
        <f t="shared" si="42"/>
        <v>6000</v>
      </c>
      <c r="P1678" s="43"/>
    </row>
    <row r="1679" spans="2:16" x14ac:dyDescent="0.35">
      <c r="B1679" s="76" t="s">
        <v>5831</v>
      </c>
      <c r="C1679" s="98" t="s">
        <v>6879</v>
      </c>
      <c r="D1679" s="121">
        <v>45810</v>
      </c>
      <c r="E1679" s="36">
        <v>45810</v>
      </c>
      <c r="F1679" s="36">
        <v>45838</v>
      </c>
      <c r="G1679" s="64" t="s">
        <v>6</v>
      </c>
      <c r="H1679" s="83" t="s">
        <v>6921</v>
      </c>
      <c r="I1679" s="35" t="s">
        <v>2804</v>
      </c>
      <c r="J1679" s="43" t="s">
        <v>6945</v>
      </c>
      <c r="K1679" s="43" t="s">
        <v>2573</v>
      </c>
      <c r="L1679" s="122">
        <v>1000</v>
      </c>
      <c r="M1679" s="30">
        <v>0</v>
      </c>
      <c r="N1679" s="30"/>
      <c r="O1679" s="30">
        <f t="shared" si="42"/>
        <v>1000</v>
      </c>
      <c r="P1679" s="43"/>
    </row>
    <row r="1680" spans="2:16" x14ac:dyDescent="0.35">
      <c r="B1680" s="76" t="s">
        <v>6823</v>
      </c>
      <c r="C1680" s="98" t="s">
        <v>6880</v>
      </c>
      <c r="D1680" s="121">
        <v>45804</v>
      </c>
      <c r="E1680" s="36">
        <v>45804</v>
      </c>
      <c r="F1680" s="36">
        <v>47629</v>
      </c>
      <c r="G1680" s="64" t="s">
        <v>6</v>
      </c>
      <c r="H1680" s="83" t="s">
        <v>2353</v>
      </c>
      <c r="I1680" s="35" t="s">
        <v>2484</v>
      </c>
      <c r="J1680" s="125" t="s">
        <v>6949</v>
      </c>
      <c r="K1680" s="43" t="s">
        <v>2583</v>
      </c>
      <c r="L1680" s="122">
        <v>7500</v>
      </c>
      <c r="M1680" s="30">
        <v>0</v>
      </c>
      <c r="N1680" s="30"/>
      <c r="O1680" s="30">
        <f t="shared" si="42"/>
        <v>7500</v>
      </c>
      <c r="P1680" s="43" t="s">
        <v>6950</v>
      </c>
    </row>
    <row r="1681" spans="2:16" x14ac:dyDescent="0.35">
      <c r="B1681" s="76" t="s">
        <v>6824</v>
      </c>
      <c r="C1681" s="98" t="s">
        <v>6881</v>
      </c>
      <c r="D1681" s="121">
        <v>45804</v>
      </c>
      <c r="E1681" s="36">
        <v>45804</v>
      </c>
      <c r="F1681" s="36">
        <v>46899</v>
      </c>
      <c r="G1681" s="64" t="s">
        <v>6</v>
      </c>
      <c r="H1681" s="83" t="s">
        <v>3967</v>
      </c>
      <c r="I1681" s="35" t="s">
        <v>2804</v>
      </c>
      <c r="J1681" s="43" t="s">
        <v>6951</v>
      </c>
      <c r="K1681" s="38" t="s">
        <v>2586</v>
      </c>
      <c r="L1681" s="122">
        <v>465000</v>
      </c>
      <c r="M1681" s="30">
        <v>0</v>
      </c>
      <c r="N1681" s="30"/>
      <c r="O1681" s="30">
        <f t="shared" si="42"/>
        <v>465000</v>
      </c>
      <c r="P1681" s="43" t="s">
        <v>6959</v>
      </c>
    </row>
    <row r="1682" spans="2:16" x14ac:dyDescent="0.35">
      <c r="B1682" s="76" t="s">
        <v>6825</v>
      </c>
      <c r="C1682" s="98" t="s">
        <v>6882</v>
      </c>
      <c r="D1682" s="121">
        <v>45804</v>
      </c>
      <c r="E1682" s="36">
        <v>45804</v>
      </c>
      <c r="F1682" s="36">
        <v>46352</v>
      </c>
      <c r="G1682" s="64" t="s">
        <v>6</v>
      </c>
      <c r="H1682" s="83" t="s">
        <v>6750</v>
      </c>
      <c r="I1682" s="35" t="s">
        <v>2508</v>
      </c>
      <c r="J1682" s="123" t="s">
        <v>6952</v>
      </c>
      <c r="K1682" s="76" t="s">
        <v>3689</v>
      </c>
      <c r="L1682" s="122">
        <v>2000</v>
      </c>
      <c r="M1682" s="30">
        <v>0</v>
      </c>
      <c r="N1682" s="30"/>
      <c r="O1682" s="30">
        <f t="shared" si="42"/>
        <v>2000</v>
      </c>
      <c r="P1682" s="43" t="s">
        <v>6953</v>
      </c>
    </row>
    <row r="1683" spans="2:16" x14ac:dyDescent="0.35">
      <c r="B1683" s="76" t="s">
        <v>6826</v>
      </c>
      <c r="C1683" s="98" t="s">
        <v>6883</v>
      </c>
      <c r="D1683" s="121">
        <v>45804</v>
      </c>
      <c r="E1683" s="36">
        <v>45804</v>
      </c>
      <c r="F1683" s="36">
        <v>47629</v>
      </c>
      <c r="G1683" s="64" t="s">
        <v>6</v>
      </c>
      <c r="H1683" s="83" t="s">
        <v>6922</v>
      </c>
      <c r="I1683" s="35" t="s">
        <v>2816</v>
      </c>
      <c r="J1683" s="126" t="s">
        <v>6954</v>
      </c>
      <c r="K1683" s="38" t="s">
        <v>2586</v>
      </c>
      <c r="L1683" s="122">
        <v>60000</v>
      </c>
      <c r="M1683" s="30">
        <v>0</v>
      </c>
      <c r="N1683" s="30"/>
      <c r="O1683" s="30">
        <f t="shared" si="42"/>
        <v>60000</v>
      </c>
      <c r="P1683" s="43" t="s">
        <v>6934</v>
      </c>
    </row>
    <row r="1684" spans="2:16" x14ac:dyDescent="0.35">
      <c r="B1684" s="76" t="s">
        <v>6827</v>
      </c>
      <c r="C1684" s="98" t="s">
        <v>6884</v>
      </c>
      <c r="D1684" s="121">
        <v>45804</v>
      </c>
      <c r="E1684" s="36">
        <v>45804</v>
      </c>
      <c r="F1684" s="36">
        <v>46352</v>
      </c>
      <c r="G1684" s="64" t="s">
        <v>6</v>
      </c>
      <c r="H1684" s="83" t="s">
        <v>6922</v>
      </c>
      <c r="I1684" s="35" t="s">
        <v>2500</v>
      </c>
      <c r="J1684" s="126" t="s">
        <v>6954</v>
      </c>
      <c r="K1684" s="43" t="s">
        <v>6810</v>
      </c>
      <c r="L1684" s="122">
        <v>50000</v>
      </c>
      <c r="M1684" s="30">
        <v>0</v>
      </c>
      <c r="N1684" s="30"/>
      <c r="O1684" s="30">
        <f t="shared" si="42"/>
        <v>50000</v>
      </c>
      <c r="P1684" s="43" t="s">
        <v>6934</v>
      </c>
    </row>
    <row r="1685" spans="2:16" ht="23" customHeight="1" x14ac:dyDescent="0.35">
      <c r="B1685" s="76" t="s">
        <v>6828</v>
      </c>
      <c r="C1685" s="98" t="s">
        <v>6885</v>
      </c>
      <c r="D1685" s="121">
        <v>45804</v>
      </c>
      <c r="E1685" s="36">
        <v>45804</v>
      </c>
      <c r="F1685" s="36">
        <v>47994</v>
      </c>
      <c r="G1685" s="64" t="s">
        <v>6</v>
      </c>
      <c r="H1685" s="83" t="s">
        <v>6923</v>
      </c>
      <c r="I1685" s="35" t="s">
        <v>2526</v>
      </c>
      <c r="J1685" s="124" t="s">
        <v>6955</v>
      </c>
      <c r="K1685" s="75" t="s">
        <v>2585</v>
      </c>
      <c r="L1685" s="122">
        <v>400000</v>
      </c>
      <c r="M1685" s="30">
        <v>0</v>
      </c>
      <c r="N1685" s="30"/>
      <c r="O1685" s="30">
        <f t="shared" si="42"/>
        <v>400000</v>
      </c>
      <c r="P1685" s="43" t="s">
        <v>6956</v>
      </c>
    </row>
    <row r="1686" spans="2:16" ht="23" customHeight="1" x14ac:dyDescent="0.35">
      <c r="B1686" s="76" t="s">
        <v>6829</v>
      </c>
      <c r="C1686" s="98" t="s">
        <v>6886</v>
      </c>
      <c r="D1686" s="121">
        <v>45804</v>
      </c>
      <c r="E1686" s="36">
        <v>45804</v>
      </c>
      <c r="F1686" s="36">
        <v>47629</v>
      </c>
      <c r="G1686" s="64" t="s">
        <v>6</v>
      </c>
      <c r="H1686" s="83" t="s">
        <v>6923</v>
      </c>
      <c r="I1686" s="35" t="s">
        <v>2526</v>
      </c>
      <c r="J1686" s="124" t="s">
        <v>6955</v>
      </c>
      <c r="K1686" s="43" t="s">
        <v>2583</v>
      </c>
      <c r="L1686" s="122">
        <v>1010625</v>
      </c>
      <c r="M1686" s="30">
        <v>0</v>
      </c>
      <c r="N1686" s="30"/>
      <c r="O1686" s="30">
        <f t="shared" si="42"/>
        <v>1010625</v>
      </c>
      <c r="P1686" s="43" t="s">
        <v>6956</v>
      </c>
    </row>
    <row r="1687" spans="2:16" ht="23" customHeight="1" x14ac:dyDescent="0.35">
      <c r="B1687" s="76" t="s">
        <v>6830</v>
      </c>
      <c r="C1687" s="98" t="s">
        <v>6887</v>
      </c>
      <c r="D1687" s="121">
        <v>45804</v>
      </c>
      <c r="E1687" s="36">
        <v>45804</v>
      </c>
      <c r="F1687" s="36">
        <v>45804</v>
      </c>
      <c r="G1687" s="64" t="s">
        <v>6</v>
      </c>
      <c r="H1687" s="83" t="s">
        <v>6923</v>
      </c>
      <c r="I1687" s="35" t="s">
        <v>2526</v>
      </c>
      <c r="J1687" s="124" t="s">
        <v>6955</v>
      </c>
      <c r="K1687" s="38" t="s">
        <v>2586</v>
      </c>
      <c r="L1687" s="122">
        <v>3900000</v>
      </c>
      <c r="M1687" s="30">
        <v>0</v>
      </c>
      <c r="N1687" s="30"/>
      <c r="O1687" s="30">
        <f t="shared" si="42"/>
        <v>3900000</v>
      </c>
      <c r="P1687" s="43" t="s">
        <v>6956</v>
      </c>
    </row>
    <row r="1688" spans="2:16" x14ac:dyDescent="0.35">
      <c r="B1688" s="76" t="s">
        <v>6831</v>
      </c>
      <c r="C1688" s="98" t="s">
        <v>6888</v>
      </c>
      <c r="D1688" s="121">
        <v>45804</v>
      </c>
      <c r="E1688" s="36">
        <v>45804</v>
      </c>
      <c r="F1688" s="36">
        <v>46899</v>
      </c>
      <c r="G1688" s="64" t="s">
        <v>6</v>
      </c>
      <c r="H1688" s="83" t="s">
        <v>6922</v>
      </c>
      <c r="I1688" s="35" t="s">
        <v>2816</v>
      </c>
      <c r="J1688" s="126" t="s">
        <v>6954</v>
      </c>
      <c r="K1688" s="43" t="s">
        <v>2583</v>
      </c>
      <c r="L1688" s="122">
        <v>14062.5</v>
      </c>
      <c r="M1688" s="30">
        <v>0</v>
      </c>
      <c r="N1688" s="30"/>
      <c r="O1688" s="30">
        <f t="shared" si="42"/>
        <v>14062.5</v>
      </c>
      <c r="P1688" s="43" t="s">
        <v>6934</v>
      </c>
    </row>
    <row r="1689" spans="2:16" x14ac:dyDescent="0.35">
      <c r="B1689" s="76" t="s">
        <v>6832</v>
      </c>
      <c r="C1689" s="98" t="s">
        <v>6889</v>
      </c>
      <c r="D1689" s="121">
        <v>45804</v>
      </c>
      <c r="E1689" s="36">
        <v>45804</v>
      </c>
      <c r="F1689" s="36">
        <v>47629</v>
      </c>
      <c r="G1689" s="64" t="s">
        <v>6</v>
      </c>
      <c r="H1689" s="83" t="s">
        <v>6924</v>
      </c>
      <c r="I1689" s="35" t="s">
        <v>2531</v>
      </c>
      <c r="J1689" s="126" t="s">
        <v>6958</v>
      </c>
      <c r="K1689" s="38" t="s">
        <v>2586</v>
      </c>
      <c r="L1689" s="122">
        <v>21500000</v>
      </c>
      <c r="M1689" s="30">
        <v>0</v>
      </c>
      <c r="N1689" s="30"/>
      <c r="O1689" s="30">
        <f t="shared" si="42"/>
        <v>21500000</v>
      </c>
      <c r="P1689" s="43" t="s">
        <v>6957</v>
      </c>
    </row>
    <row r="1690" spans="2:16" x14ac:dyDescent="0.35">
      <c r="B1690" s="76" t="s">
        <v>6833</v>
      </c>
      <c r="C1690" s="98" t="s">
        <v>6890</v>
      </c>
      <c r="D1690" s="121">
        <v>45804</v>
      </c>
      <c r="E1690" s="36">
        <v>45804</v>
      </c>
      <c r="F1690" s="36">
        <v>46899</v>
      </c>
      <c r="G1690" s="64" t="s">
        <v>6</v>
      </c>
      <c r="H1690" s="83" t="s">
        <v>3967</v>
      </c>
      <c r="I1690" s="35" t="s">
        <v>2804</v>
      </c>
      <c r="J1690" s="43" t="s">
        <v>6951</v>
      </c>
      <c r="K1690" s="43" t="s">
        <v>2583</v>
      </c>
      <c r="L1690" s="122">
        <v>20000</v>
      </c>
      <c r="M1690" s="30">
        <v>0</v>
      </c>
      <c r="N1690" s="30"/>
      <c r="O1690" s="30">
        <f t="shared" si="42"/>
        <v>20000</v>
      </c>
      <c r="P1690" s="43" t="s">
        <v>6959</v>
      </c>
    </row>
    <row r="1691" spans="2:16" ht="29" x14ac:dyDescent="0.35">
      <c r="B1691" s="76" t="s">
        <v>6834</v>
      </c>
      <c r="C1691" s="98" t="s">
        <v>6891</v>
      </c>
      <c r="D1691" s="121">
        <v>45804</v>
      </c>
      <c r="E1691" s="36">
        <v>45804</v>
      </c>
      <c r="F1691" s="36">
        <v>47660</v>
      </c>
      <c r="G1691" s="64" t="s">
        <v>6</v>
      </c>
      <c r="H1691" s="83" t="s">
        <v>394</v>
      </c>
      <c r="I1691" s="35" t="s">
        <v>6961</v>
      </c>
      <c r="J1691" s="127" t="s">
        <v>6960</v>
      </c>
      <c r="K1691" s="76" t="s">
        <v>2584</v>
      </c>
      <c r="L1691" s="122">
        <v>756000</v>
      </c>
      <c r="M1691" s="30">
        <v>0</v>
      </c>
      <c r="N1691" s="30"/>
      <c r="O1691" s="30">
        <f t="shared" si="42"/>
        <v>756000</v>
      </c>
      <c r="P1691" s="43" t="s">
        <v>6959</v>
      </c>
    </row>
    <row r="1692" spans="2:16" x14ac:dyDescent="0.35">
      <c r="B1692" s="76" t="s">
        <v>6835</v>
      </c>
      <c r="C1692" s="98" t="s">
        <v>6892</v>
      </c>
      <c r="D1692" s="121">
        <v>45804</v>
      </c>
      <c r="E1692" s="36">
        <v>45804</v>
      </c>
      <c r="F1692" s="36">
        <v>47629</v>
      </c>
      <c r="G1692" s="64" t="s">
        <v>6</v>
      </c>
      <c r="H1692" s="83" t="s">
        <v>1490</v>
      </c>
      <c r="I1692" s="35" t="s">
        <v>2474</v>
      </c>
      <c r="J1692" s="43" t="s">
        <v>6962</v>
      </c>
      <c r="K1692" s="38" t="s">
        <v>2586</v>
      </c>
      <c r="L1692" s="122">
        <v>15000</v>
      </c>
      <c r="M1692" s="30">
        <v>0</v>
      </c>
      <c r="N1692" s="30"/>
      <c r="O1692" s="30">
        <f t="shared" si="42"/>
        <v>15000</v>
      </c>
      <c r="P1692" s="43" t="s">
        <v>6963</v>
      </c>
    </row>
    <row r="1693" spans="2:16" x14ac:dyDescent="0.35">
      <c r="B1693" s="76" t="s">
        <v>5831</v>
      </c>
      <c r="C1693" s="98" t="s">
        <v>6893</v>
      </c>
      <c r="D1693" s="121">
        <v>45796</v>
      </c>
      <c r="E1693" s="36">
        <v>45796</v>
      </c>
      <c r="F1693" s="36">
        <v>45838</v>
      </c>
      <c r="G1693" s="64" t="s">
        <v>6</v>
      </c>
      <c r="H1693" s="83" t="s">
        <v>6925</v>
      </c>
      <c r="I1693" s="35" t="s">
        <v>2872</v>
      </c>
      <c r="J1693" s="43" t="s">
        <v>6945</v>
      </c>
      <c r="K1693" s="43" t="s">
        <v>2573</v>
      </c>
      <c r="L1693" s="122">
        <v>1000</v>
      </c>
      <c r="M1693" s="30">
        <v>0</v>
      </c>
      <c r="N1693" s="30"/>
      <c r="O1693" s="30">
        <f t="shared" si="42"/>
        <v>1000</v>
      </c>
      <c r="P1693" s="43"/>
    </row>
    <row r="1694" spans="2:16" ht="29" x14ac:dyDescent="0.35">
      <c r="B1694" s="76" t="s">
        <v>5788</v>
      </c>
      <c r="C1694" s="98" t="s">
        <v>6894</v>
      </c>
      <c r="D1694" s="121">
        <v>45811</v>
      </c>
      <c r="E1694" s="36">
        <v>45811</v>
      </c>
      <c r="F1694" s="36">
        <v>46175</v>
      </c>
      <c r="G1694" s="64" t="s">
        <v>6</v>
      </c>
      <c r="H1694" s="83" t="s">
        <v>6926</v>
      </c>
      <c r="I1694" s="35" t="s">
        <v>2522</v>
      </c>
      <c r="J1694" s="43" t="s">
        <v>6943</v>
      </c>
      <c r="K1694" s="76" t="s">
        <v>6663</v>
      </c>
      <c r="L1694" s="122">
        <v>10000</v>
      </c>
      <c r="M1694" s="30">
        <v>0</v>
      </c>
      <c r="N1694" s="30"/>
      <c r="O1694" s="30">
        <f t="shared" si="42"/>
        <v>10000</v>
      </c>
      <c r="P1694" s="43"/>
    </row>
    <row r="1695" spans="2:16" x14ac:dyDescent="0.35">
      <c r="B1695" s="76" t="s">
        <v>6088</v>
      </c>
      <c r="C1695" s="98" t="s">
        <v>6895</v>
      </c>
      <c r="D1695" s="121">
        <v>45811</v>
      </c>
      <c r="E1695" s="36">
        <v>45811</v>
      </c>
      <c r="F1695" s="36">
        <v>46022</v>
      </c>
      <c r="G1695" s="64" t="s">
        <v>6</v>
      </c>
      <c r="H1695" s="83" t="s">
        <v>6927</v>
      </c>
      <c r="I1695" s="35" t="s">
        <v>2476</v>
      </c>
      <c r="J1695" s="43" t="s">
        <v>5236</v>
      </c>
      <c r="K1695" s="43" t="s">
        <v>3181</v>
      </c>
      <c r="L1695" s="122">
        <v>5000</v>
      </c>
      <c r="M1695" s="30">
        <v>0</v>
      </c>
      <c r="N1695" s="30">
        <v>2500</v>
      </c>
      <c r="O1695" s="30">
        <f t="shared" si="42"/>
        <v>2500</v>
      </c>
      <c r="P1695" s="43"/>
    </row>
    <row r="1696" spans="2:16" ht="29" x14ac:dyDescent="0.35">
      <c r="B1696" s="76" t="s">
        <v>5788</v>
      </c>
      <c r="C1696" s="98" t="s">
        <v>6896</v>
      </c>
      <c r="D1696" s="121">
        <v>45811</v>
      </c>
      <c r="E1696" s="36">
        <v>45811</v>
      </c>
      <c r="F1696" s="36">
        <v>46175</v>
      </c>
      <c r="G1696" s="64" t="s">
        <v>6</v>
      </c>
      <c r="H1696" s="83" t="s">
        <v>6928</v>
      </c>
      <c r="I1696" s="35" t="s">
        <v>2505</v>
      </c>
      <c r="J1696" s="43" t="s">
        <v>6943</v>
      </c>
      <c r="K1696" s="76" t="s">
        <v>6663</v>
      </c>
      <c r="L1696" s="122">
        <v>10000</v>
      </c>
      <c r="M1696" s="30">
        <v>0</v>
      </c>
      <c r="N1696" s="30"/>
      <c r="O1696" s="30">
        <f t="shared" si="42"/>
        <v>10000</v>
      </c>
      <c r="P1696" s="43"/>
    </row>
    <row r="1697" spans="2:16" x14ac:dyDescent="0.35">
      <c r="B1697" s="76" t="s">
        <v>6836</v>
      </c>
      <c r="C1697" s="98" t="s">
        <v>6897</v>
      </c>
      <c r="D1697" s="121">
        <v>45811</v>
      </c>
      <c r="E1697" s="36">
        <v>45811</v>
      </c>
      <c r="F1697" s="36">
        <v>46934</v>
      </c>
      <c r="G1697" s="64" t="s">
        <v>6</v>
      </c>
      <c r="H1697" s="83" t="s">
        <v>6747</v>
      </c>
      <c r="I1697" s="35" t="s">
        <v>2484</v>
      </c>
      <c r="J1697" s="43" t="s">
        <v>6964</v>
      </c>
      <c r="K1697" s="43" t="s">
        <v>6810</v>
      </c>
      <c r="L1697" s="122">
        <v>3500</v>
      </c>
      <c r="M1697" s="30">
        <v>0</v>
      </c>
      <c r="N1697" s="30"/>
      <c r="O1697" s="30">
        <f t="shared" si="42"/>
        <v>3500</v>
      </c>
      <c r="P1697" s="110" t="s">
        <v>6965</v>
      </c>
    </row>
    <row r="1698" spans="2:16" x14ac:dyDescent="0.35">
      <c r="L1698" s="129">
        <f>SUM(L6:L1697)</f>
        <v>686248674.25</v>
      </c>
      <c r="M1698" s="129">
        <f>SUM(M6:M1697)</f>
        <v>43291385.830000006</v>
      </c>
      <c r="N1698" s="129">
        <f>SUM(N6:N1697)</f>
        <v>187925616.02999997</v>
      </c>
      <c r="O1698" s="129">
        <f>SUM(O6:O1697)</f>
        <v>453812916.89000022</v>
      </c>
    </row>
    <row r="1699" spans="2:16" x14ac:dyDescent="0.35">
      <c r="L1699" s="129"/>
      <c r="M1699" s="129"/>
      <c r="N1699" s="129"/>
      <c r="O1699" s="129"/>
    </row>
  </sheetData>
  <autoFilter ref="B5:P1698" xr:uid="{00000000-0001-0000-0400-000000000000}">
    <sortState xmlns:xlrd2="http://schemas.microsoft.com/office/spreadsheetml/2017/richdata2" ref="B795:P1310">
      <sortCondition descending="1" ref="H5:H1532"/>
    </sortState>
  </autoFilter>
  <sortState xmlns:xlrd2="http://schemas.microsoft.com/office/spreadsheetml/2017/richdata2" ref="B820:P1186">
    <sortCondition ref="C820:C1186"/>
  </sortState>
  <mergeCells count="4">
    <mergeCell ref="B2:P2"/>
    <mergeCell ref="B3:P3"/>
    <mergeCell ref="B1:P1"/>
    <mergeCell ref="B4:P4"/>
  </mergeCells>
  <phoneticPr fontId="4" type="noConversion"/>
  <conditionalFormatting sqref="C1637:C1697">
    <cfRule type="duplicateValues" dxfId="42" priority="1"/>
  </conditionalFormatting>
  <pageMargins left="0.7" right="0.7" top="0.93" bottom="0.47" header="0.24" footer="0.2"/>
  <pageSetup paperSize="5" scale="46" fitToHeight="0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56"/>
  <sheetViews>
    <sheetView topLeftCell="A505" workbookViewId="0">
      <selection activeCell="G510" sqref="G510"/>
    </sheetView>
  </sheetViews>
  <sheetFormatPr defaultColWidth="8.7265625" defaultRowHeight="14.5" x14ac:dyDescent="0.35"/>
  <cols>
    <col min="1" max="1" width="13.26953125" customWidth="1"/>
    <col min="2" max="2" width="13.1796875" customWidth="1"/>
    <col min="3" max="3" width="15.1796875" customWidth="1"/>
    <col min="4" max="4" width="14.7265625" customWidth="1"/>
    <col min="5" max="5" width="19.1796875" customWidth="1"/>
    <col min="6" max="6" width="19.7265625" customWidth="1"/>
    <col min="7" max="7" width="22.453125" bestFit="1" customWidth="1"/>
  </cols>
  <sheetData>
    <row r="1" spans="1:7" x14ac:dyDescent="0.35">
      <c r="A1" s="5" t="s">
        <v>2560</v>
      </c>
      <c r="B1" s="5" t="s">
        <v>1</v>
      </c>
      <c r="C1" s="6" t="s">
        <v>2561</v>
      </c>
      <c r="D1" s="6" t="s">
        <v>2562</v>
      </c>
      <c r="E1" s="7" t="s">
        <v>2563</v>
      </c>
      <c r="F1" s="5" t="s">
        <v>2</v>
      </c>
      <c r="G1" s="7" t="s">
        <v>2566</v>
      </c>
    </row>
    <row r="2" spans="1:7" x14ac:dyDescent="0.35">
      <c r="A2" s="8" t="s">
        <v>775</v>
      </c>
      <c r="B2" s="9" t="s">
        <v>776</v>
      </c>
      <c r="C2" s="4">
        <v>42562</v>
      </c>
      <c r="D2" s="4">
        <v>42619</v>
      </c>
      <c r="E2" t="s">
        <v>777</v>
      </c>
      <c r="F2" s="9" t="s">
        <v>5</v>
      </c>
      <c r="G2" s="10">
        <v>4140</v>
      </c>
    </row>
    <row r="3" spans="1:7" x14ac:dyDescent="0.35">
      <c r="A3" s="8" t="s">
        <v>778</v>
      </c>
      <c r="B3" s="9" t="s">
        <v>779</v>
      </c>
      <c r="C3" s="4">
        <v>42562</v>
      </c>
      <c r="D3" s="4">
        <v>42625</v>
      </c>
      <c r="E3" t="s">
        <v>780</v>
      </c>
      <c r="F3" s="9" t="s">
        <v>5</v>
      </c>
      <c r="G3" s="10">
        <v>825</v>
      </c>
    </row>
    <row r="4" spans="1:7" x14ac:dyDescent="0.35">
      <c r="A4" s="8" t="s">
        <v>781</v>
      </c>
      <c r="B4" s="9" t="s">
        <v>782</v>
      </c>
      <c r="C4" s="4">
        <v>42562</v>
      </c>
      <c r="D4" s="4">
        <v>42619</v>
      </c>
      <c r="E4" t="s">
        <v>783</v>
      </c>
      <c r="F4" s="9" t="s">
        <v>5</v>
      </c>
      <c r="G4" s="10">
        <v>5357</v>
      </c>
    </row>
    <row r="5" spans="1:7" x14ac:dyDescent="0.35">
      <c r="A5" s="8" t="s">
        <v>155</v>
      </c>
      <c r="B5" s="9" t="s">
        <v>156</v>
      </c>
      <c r="C5" s="4">
        <v>42567</v>
      </c>
      <c r="D5" s="4">
        <v>42594</v>
      </c>
      <c r="E5" t="s">
        <v>157</v>
      </c>
      <c r="F5" s="11" t="s">
        <v>4</v>
      </c>
      <c r="G5" s="10">
        <v>140000</v>
      </c>
    </row>
    <row r="6" spans="1:7" x14ac:dyDescent="0.35">
      <c r="A6" s="8" t="s">
        <v>855</v>
      </c>
      <c r="B6" s="9" t="s">
        <v>962</v>
      </c>
      <c r="C6" s="4">
        <v>42571</v>
      </c>
      <c r="D6" s="4">
        <v>42662</v>
      </c>
      <c r="E6" t="s">
        <v>59</v>
      </c>
      <c r="F6" s="9" t="s">
        <v>5</v>
      </c>
      <c r="G6" s="10">
        <v>2225</v>
      </c>
    </row>
    <row r="7" spans="1:7" x14ac:dyDescent="0.35">
      <c r="A7" s="8" t="s">
        <v>983</v>
      </c>
      <c r="B7" s="9" t="s">
        <v>1013</v>
      </c>
      <c r="C7" s="4">
        <v>42571</v>
      </c>
      <c r="D7" s="4">
        <v>42927</v>
      </c>
      <c r="E7" t="s">
        <v>1014</v>
      </c>
      <c r="F7" s="9" t="s">
        <v>5</v>
      </c>
      <c r="G7" s="10">
        <v>998.55</v>
      </c>
    </row>
    <row r="8" spans="1:7" x14ac:dyDescent="0.35">
      <c r="A8" s="8" t="s">
        <v>983</v>
      </c>
      <c r="B8" s="9" t="s">
        <v>1029</v>
      </c>
      <c r="C8" s="4">
        <v>42571</v>
      </c>
      <c r="D8" s="4">
        <v>42919</v>
      </c>
      <c r="E8" t="s">
        <v>1030</v>
      </c>
      <c r="F8" s="9" t="s">
        <v>5</v>
      </c>
      <c r="G8" s="10">
        <v>1000</v>
      </c>
    </row>
    <row r="9" spans="1:7" x14ac:dyDescent="0.35">
      <c r="A9" s="8" t="s">
        <v>855</v>
      </c>
      <c r="B9" s="9" t="s">
        <v>929</v>
      </c>
      <c r="C9" s="4">
        <v>42571</v>
      </c>
      <c r="D9" s="4">
        <v>42635</v>
      </c>
      <c r="E9" t="s">
        <v>930</v>
      </c>
      <c r="F9" s="9" t="s">
        <v>5</v>
      </c>
      <c r="G9" s="10">
        <v>1080</v>
      </c>
    </row>
    <row r="10" spans="1:7" x14ac:dyDescent="0.35">
      <c r="A10" s="8" t="s">
        <v>983</v>
      </c>
      <c r="B10" s="9" t="s">
        <v>992</v>
      </c>
      <c r="C10" s="4">
        <v>42571</v>
      </c>
      <c r="D10" s="4">
        <v>42942</v>
      </c>
      <c r="E10" t="s">
        <v>129</v>
      </c>
      <c r="F10" s="9" t="s">
        <v>5</v>
      </c>
      <c r="G10" s="10">
        <v>556.99</v>
      </c>
    </row>
    <row r="11" spans="1:7" x14ac:dyDescent="0.35">
      <c r="A11" s="8" t="s">
        <v>983</v>
      </c>
      <c r="B11" s="9" t="s">
        <v>986</v>
      </c>
      <c r="C11" s="4">
        <v>42571</v>
      </c>
      <c r="D11" s="4">
        <v>42762</v>
      </c>
      <c r="E11" t="s">
        <v>987</v>
      </c>
      <c r="F11" s="9" t="s">
        <v>5</v>
      </c>
      <c r="G11" s="10">
        <v>379.52</v>
      </c>
    </row>
    <row r="12" spans="1:7" x14ac:dyDescent="0.35">
      <c r="A12" s="8" t="s">
        <v>983</v>
      </c>
      <c r="B12" s="9" t="s">
        <v>984</v>
      </c>
      <c r="C12" s="4">
        <v>42571</v>
      </c>
      <c r="D12" s="4">
        <v>42915</v>
      </c>
      <c r="E12" t="s">
        <v>985</v>
      </c>
      <c r="F12" s="9" t="s">
        <v>5</v>
      </c>
      <c r="G12" s="10">
        <v>249.78</v>
      </c>
    </row>
    <row r="13" spans="1:7" x14ac:dyDescent="0.35">
      <c r="A13" s="8" t="s">
        <v>983</v>
      </c>
      <c r="B13" s="9" t="s">
        <v>993</v>
      </c>
      <c r="C13" s="4">
        <v>42571</v>
      </c>
      <c r="D13" s="4">
        <v>42829</v>
      </c>
      <c r="E13" t="s">
        <v>994</v>
      </c>
      <c r="F13" s="9" t="s">
        <v>5</v>
      </c>
      <c r="G13" s="10">
        <v>589.94000000000005</v>
      </c>
    </row>
    <row r="14" spans="1:7" x14ac:dyDescent="0.35">
      <c r="A14" s="8" t="s">
        <v>855</v>
      </c>
      <c r="B14" s="9" t="s">
        <v>928</v>
      </c>
      <c r="C14" s="4">
        <v>42571</v>
      </c>
      <c r="D14" s="4">
        <v>42635</v>
      </c>
      <c r="E14" t="s">
        <v>37</v>
      </c>
      <c r="F14" s="9" t="s">
        <v>5</v>
      </c>
      <c r="G14" s="10">
        <v>1080</v>
      </c>
    </row>
    <row r="15" spans="1:7" x14ac:dyDescent="0.35">
      <c r="A15" s="8" t="s">
        <v>855</v>
      </c>
      <c r="B15" s="9" t="s">
        <v>935</v>
      </c>
      <c r="C15" s="4">
        <v>42571</v>
      </c>
      <c r="D15" s="4">
        <v>42788</v>
      </c>
      <c r="E15" t="s">
        <v>37</v>
      </c>
      <c r="F15" s="9" t="s">
        <v>5</v>
      </c>
      <c r="G15" s="10">
        <v>1080</v>
      </c>
    </row>
    <row r="16" spans="1:7" x14ac:dyDescent="0.35">
      <c r="A16" s="8" t="s">
        <v>855</v>
      </c>
      <c r="B16" s="9" t="s">
        <v>868</v>
      </c>
      <c r="C16" s="4">
        <v>42571</v>
      </c>
      <c r="D16" s="4">
        <v>42747</v>
      </c>
      <c r="E16" t="s">
        <v>869</v>
      </c>
      <c r="F16" s="9" t="s">
        <v>5</v>
      </c>
      <c r="G16" s="10">
        <v>300</v>
      </c>
    </row>
    <row r="17" spans="1:7" x14ac:dyDescent="0.35">
      <c r="A17" s="8" t="s">
        <v>983</v>
      </c>
      <c r="B17" s="9" t="s">
        <v>1007</v>
      </c>
      <c r="C17" s="4">
        <v>42571</v>
      </c>
      <c r="D17" s="4">
        <v>42767</v>
      </c>
      <c r="E17" t="s">
        <v>1008</v>
      </c>
      <c r="F17" s="9" t="s">
        <v>5</v>
      </c>
      <c r="G17" s="10">
        <v>995.95</v>
      </c>
    </row>
    <row r="18" spans="1:7" x14ac:dyDescent="0.35">
      <c r="A18" s="8" t="s">
        <v>855</v>
      </c>
      <c r="B18" s="9" t="s">
        <v>959</v>
      </c>
      <c r="C18" s="4">
        <v>42571</v>
      </c>
      <c r="D18" s="4">
        <v>42821</v>
      </c>
      <c r="E18" t="s">
        <v>879</v>
      </c>
      <c r="F18" s="9" t="s">
        <v>5</v>
      </c>
      <c r="G18" s="10">
        <v>1990</v>
      </c>
    </row>
    <row r="19" spans="1:7" x14ac:dyDescent="0.35">
      <c r="A19" s="8" t="s">
        <v>855</v>
      </c>
      <c r="B19" s="9" t="s">
        <v>878</v>
      </c>
      <c r="C19" s="4">
        <v>42571</v>
      </c>
      <c r="D19" s="4">
        <v>42835</v>
      </c>
      <c r="E19" t="s">
        <v>879</v>
      </c>
      <c r="F19" s="9" t="s">
        <v>5</v>
      </c>
      <c r="G19" s="10">
        <v>535</v>
      </c>
    </row>
    <row r="20" spans="1:7" x14ac:dyDescent="0.35">
      <c r="A20" s="8" t="s">
        <v>855</v>
      </c>
      <c r="B20" s="9" t="s">
        <v>920</v>
      </c>
      <c r="C20" s="4">
        <v>42571</v>
      </c>
      <c r="D20" s="4">
        <v>42635</v>
      </c>
      <c r="E20" t="s">
        <v>31</v>
      </c>
      <c r="F20" s="9" t="s">
        <v>5</v>
      </c>
      <c r="G20" s="10">
        <v>1080</v>
      </c>
    </row>
    <row r="21" spans="1:7" x14ac:dyDescent="0.35">
      <c r="A21" s="8" t="s">
        <v>855</v>
      </c>
      <c r="B21" s="9" t="s">
        <v>876</v>
      </c>
      <c r="C21" s="4">
        <v>42571</v>
      </c>
      <c r="D21" s="4">
        <v>42927</v>
      </c>
      <c r="E21" t="s">
        <v>877</v>
      </c>
      <c r="F21" s="9" t="s">
        <v>5</v>
      </c>
      <c r="G21" s="10">
        <v>500</v>
      </c>
    </row>
    <row r="22" spans="1:7" x14ac:dyDescent="0.35">
      <c r="A22" s="8" t="s">
        <v>855</v>
      </c>
      <c r="B22" s="9" t="s">
        <v>981</v>
      </c>
      <c r="C22" s="4">
        <v>42571</v>
      </c>
      <c r="D22" s="4">
        <v>42866</v>
      </c>
      <c r="E22" t="s">
        <v>982</v>
      </c>
      <c r="F22" s="9" t="s">
        <v>5</v>
      </c>
      <c r="G22" s="10">
        <v>9313</v>
      </c>
    </row>
    <row r="23" spans="1:7" x14ac:dyDescent="0.35">
      <c r="A23" s="8" t="s">
        <v>1054</v>
      </c>
      <c r="B23" s="9" t="s">
        <v>1055</v>
      </c>
      <c r="C23" s="4">
        <v>42571</v>
      </c>
      <c r="D23" s="4">
        <v>42704</v>
      </c>
      <c r="E23" t="s">
        <v>1056</v>
      </c>
      <c r="F23" s="9" t="s">
        <v>5</v>
      </c>
      <c r="G23" s="10">
        <v>60864</v>
      </c>
    </row>
    <row r="24" spans="1:7" x14ac:dyDescent="0.35">
      <c r="A24" s="8" t="s">
        <v>855</v>
      </c>
      <c r="B24" s="9" t="s">
        <v>974</v>
      </c>
      <c r="C24" s="4">
        <v>42571</v>
      </c>
      <c r="D24" s="4">
        <v>42628</v>
      </c>
      <c r="E24" t="s">
        <v>21</v>
      </c>
      <c r="F24" s="9" t="s">
        <v>5</v>
      </c>
      <c r="G24" s="10">
        <v>3290</v>
      </c>
    </row>
    <row r="25" spans="1:7" x14ac:dyDescent="0.35">
      <c r="A25" s="8" t="s">
        <v>855</v>
      </c>
      <c r="B25" s="9" t="s">
        <v>979</v>
      </c>
      <c r="C25" s="4">
        <v>42571</v>
      </c>
      <c r="D25" s="4">
        <v>42881</v>
      </c>
      <c r="E25" t="s">
        <v>980</v>
      </c>
      <c r="F25" s="9" t="s">
        <v>5</v>
      </c>
      <c r="G25" s="10">
        <v>8205</v>
      </c>
    </row>
    <row r="26" spans="1:7" x14ac:dyDescent="0.35">
      <c r="A26" s="8" t="s">
        <v>855</v>
      </c>
      <c r="B26" s="9" t="s">
        <v>910</v>
      </c>
      <c r="C26" s="4">
        <v>42571</v>
      </c>
      <c r="D26" s="4">
        <v>42846</v>
      </c>
      <c r="E26" t="s">
        <v>911</v>
      </c>
      <c r="F26" s="9" t="s">
        <v>5</v>
      </c>
      <c r="G26" s="10">
        <v>1000</v>
      </c>
    </row>
    <row r="27" spans="1:7" x14ac:dyDescent="0.35">
      <c r="A27" s="8" t="s">
        <v>983</v>
      </c>
      <c r="B27" s="9" t="s">
        <v>1019</v>
      </c>
      <c r="C27" s="4">
        <v>42571</v>
      </c>
      <c r="D27" s="4">
        <v>42810</v>
      </c>
      <c r="E27" t="s">
        <v>1020</v>
      </c>
      <c r="F27" s="9" t="s">
        <v>5</v>
      </c>
      <c r="G27" s="10">
        <v>1000</v>
      </c>
    </row>
    <row r="28" spans="1:7" x14ac:dyDescent="0.35">
      <c r="A28" s="8" t="s">
        <v>855</v>
      </c>
      <c r="B28" s="9" t="s">
        <v>971</v>
      </c>
      <c r="C28" s="4">
        <v>42571</v>
      </c>
      <c r="D28" s="4">
        <v>42593</v>
      </c>
      <c r="E28" t="s">
        <v>970</v>
      </c>
      <c r="F28" s="9" t="s">
        <v>5</v>
      </c>
      <c r="G28" s="10">
        <v>2795</v>
      </c>
    </row>
    <row r="29" spans="1:7" x14ac:dyDescent="0.35">
      <c r="A29" s="8" t="s">
        <v>855</v>
      </c>
      <c r="B29" s="9" t="s">
        <v>976</v>
      </c>
      <c r="C29" s="4">
        <v>42571</v>
      </c>
      <c r="D29" s="4">
        <v>42633</v>
      </c>
      <c r="E29" t="s">
        <v>970</v>
      </c>
      <c r="F29" s="9" t="s">
        <v>5</v>
      </c>
      <c r="G29" s="10">
        <v>5328.15</v>
      </c>
    </row>
    <row r="30" spans="1:7" x14ac:dyDescent="0.35">
      <c r="A30" s="8" t="s">
        <v>855</v>
      </c>
      <c r="B30" s="9" t="s">
        <v>969</v>
      </c>
      <c r="C30" s="4">
        <v>42571</v>
      </c>
      <c r="D30" s="4">
        <v>42915</v>
      </c>
      <c r="E30" t="s">
        <v>970</v>
      </c>
      <c r="F30" s="9" t="s">
        <v>5</v>
      </c>
      <c r="G30" s="10">
        <v>2700</v>
      </c>
    </row>
    <row r="31" spans="1:7" x14ac:dyDescent="0.35">
      <c r="A31" s="8" t="s">
        <v>855</v>
      </c>
      <c r="B31" s="9" t="s">
        <v>905</v>
      </c>
      <c r="C31" s="4">
        <v>42571</v>
      </c>
      <c r="D31" s="4">
        <v>42779</v>
      </c>
      <c r="E31" t="s">
        <v>906</v>
      </c>
      <c r="F31" s="9" t="s">
        <v>5</v>
      </c>
      <c r="G31" s="10">
        <v>900</v>
      </c>
    </row>
    <row r="32" spans="1:7" x14ac:dyDescent="0.35">
      <c r="A32" s="8" t="s">
        <v>855</v>
      </c>
      <c r="B32" s="9" t="s">
        <v>916</v>
      </c>
      <c r="C32" s="4">
        <v>42571</v>
      </c>
      <c r="D32" s="4">
        <v>42706</v>
      </c>
      <c r="E32" t="s">
        <v>49</v>
      </c>
      <c r="F32" s="9" t="s">
        <v>5</v>
      </c>
      <c r="G32" s="10">
        <v>1060</v>
      </c>
    </row>
    <row r="33" spans="1:7" x14ac:dyDescent="0.35">
      <c r="A33" s="8" t="s">
        <v>855</v>
      </c>
      <c r="B33" s="9" t="s">
        <v>968</v>
      </c>
      <c r="C33" s="4">
        <v>42571</v>
      </c>
      <c r="D33" s="4">
        <v>42821</v>
      </c>
      <c r="E33" t="s">
        <v>49</v>
      </c>
      <c r="F33" s="9" t="s">
        <v>5</v>
      </c>
      <c r="G33" s="10">
        <v>2640</v>
      </c>
    </row>
    <row r="34" spans="1:7" x14ac:dyDescent="0.35">
      <c r="A34" s="8" t="s">
        <v>855</v>
      </c>
      <c r="B34" s="9" t="s">
        <v>874</v>
      </c>
      <c r="C34" s="4">
        <v>42571</v>
      </c>
      <c r="D34" s="4">
        <v>42633</v>
      </c>
      <c r="E34" t="s">
        <v>875</v>
      </c>
      <c r="F34" s="9" t="s">
        <v>5</v>
      </c>
      <c r="G34" s="10">
        <v>418</v>
      </c>
    </row>
    <row r="35" spans="1:7" x14ac:dyDescent="0.35">
      <c r="A35" s="8" t="s">
        <v>855</v>
      </c>
      <c r="B35" s="9" t="s">
        <v>975</v>
      </c>
      <c r="C35" s="4">
        <v>42571</v>
      </c>
      <c r="D35" s="4">
        <v>42688</v>
      </c>
      <c r="E35" t="s">
        <v>875</v>
      </c>
      <c r="F35" s="9" t="s">
        <v>5</v>
      </c>
      <c r="G35" s="10">
        <v>3564</v>
      </c>
    </row>
    <row r="36" spans="1:7" x14ac:dyDescent="0.35">
      <c r="A36" s="8" t="s">
        <v>855</v>
      </c>
      <c r="B36" s="9" t="s">
        <v>881</v>
      </c>
      <c r="C36" s="4">
        <v>42571</v>
      </c>
      <c r="D36" s="4">
        <v>42704</v>
      </c>
      <c r="E36" t="s">
        <v>875</v>
      </c>
      <c r="F36" s="9" t="s">
        <v>5</v>
      </c>
      <c r="G36" s="10">
        <v>671.25</v>
      </c>
    </row>
    <row r="37" spans="1:7" x14ac:dyDescent="0.35">
      <c r="A37" s="8" t="s">
        <v>855</v>
      </c>
      <c r="B37" s="9" t="s">
        <v>966</v>
      </c>
      <c r="C37" s="4">
        <v>42571</v>
      </c>
      <c r="D37" s="4">
        <v>42802</v>
      </c>
      <c r="E37" t="s">
        <v>875</v>
      </c>
      <c r="F37" s="9" t="s">
        <v>5</v>
      </c>
      <c r="G37" s="10">
        <v>2490</v>
      </c>
    </row>
    <row r="38" spans="1:7" x14ac:dyDescent="0.35">
      <c r="A38" s="8" t="s">
        <v>855</v>
      </c>
      <c r="B38" s="9" t="s">
        <v>957</v>
      </c>
      <c r="C38" s="4">
        <v>42571</v>
      </c>
      <c r="D38" s="4">
        <v>42711</v>
      </c>
      <c r="E38" t="s">
        <v>958</v>
      </c>
      <c r="F38" s="9" t="s">
        <v>5</v>
      </c>
      <c r="G38" s="10">
        <v>1800</v>
      </c>
    </row>
    <row r="39" spans="1:7" x14ac:dyDescent="0.35">
      <c r="A39" s="8" t="s">
        <v>983</v>
      </c>
      <c r="B39" s="9" t="s">
        <v>1021</v>
      </c>
      <c r="C39" s="4">
        <v>42571</v>
      </c>
      <c r="D39" s="4">
        <v>42842</v>
      </c>
      <c r="E39" t="s">
        <v>1022</v>
      </c>
      <c r="F39" s="9" t="s">
        <v>5</v>
      </c>
      <c r="G39" s="10">
        <v>1000</v>
      </c>
    </row>
    <row r="40" spans="1:7" x14ac:dyDescent="0.35">
      <c r="A40" s="8" t="s">
        <v>855</v>
      </c>
      <c r="B40" s="9" t="s">
        <v>963</v>
      </c>
      <c r="C40" s="4">
        <v>42571</v>
      </c>
      <c r="D40" s="4">
        <v>42674</v>
      </c>
      <c r="E40" t="s">
        <v>964</v>
      </c>
      <c r="F40" s="9" t="s">
        <v>5</v>
      </c>
      <c r="G40" s="10">
        <v>2262.5</v>
      </c>
    </row>
    <row r="41" spans="1:7" x14ac:dyDescent="0.35">
      <c r="A41" s="8" t="s">
        <v>855</v>
      </c>
      <c r="B41" s="9" t="s">
        <v>858</v>
      </c>
      <c r="C41" s="4">
        <v>42571</v>
      </c>
      <c r="D41" s="4">
        <v>42822</v>
      </c>
      <c r="E41" t="s">
        <v>859</v>
      </c>
      <c r="F41" s="9" t="s">
        <v>5</v>
      </c>
      <c r="G41" s="10">
        <v>150</v>
      </c>
    </row>
    <row r="42" spans="1:7" x14ac:dyDescent="0.35">
      <c r="A42" s="8" t="s">
        <v>983</v>
      </c>
      <c r="B42" s="9" t="s">
        <v>1027</v>
      </c>
      <c r="C42" s="4">
        <v>42571</v>
      </c>
      <c r="D42" s="4">
        <v>42914</v>
      </c>
      <c r="E42" t="s">
        <v>1028</v>
      </c>
      <c r="F42" s="9" t="s">
        <v>5</v>
      </c>
      <c r="G42" s="10">
        <v>1000</v>
      </c>
    </row>
    <row r="43" spans="1:7" x14ac:dyDescent="0.35">
      <c r="A43" s="8" t="s">
        <v>855</v>
      </c>
      <c r="B43" s="9" t="s">
        <v>903</v>
      </c>
      <c r="C43" s="4">
        <v>42571</v>
      </c>
      <c r="D43" s="4">
        <v>42716</v>
      </c>
      <c r="E43" t="s">
        <v>904</v>
      </c>
      <c r="F43" s="9" t="s">
        <v>5</v>
      </c>
      <c r="G43" s="10">
        <v>900</v>
      </c>
    </row>
    <row r="44" spans="1:7" x14ac:dyDescent="0.35">
      <c r="A44" s="8" t="s">
        <v>855</v>
      </c>
      <c r="B44" s="9" t="s">
        <v>912</v>
      </c>
      <c r="C44" s="4">
        <v>42571</v>
      </c>
      <c r="D44" s="4">
        <v>42851</v>
      </c>
      <c r="E44" t="s">
        <v>913</v>
      </c>
      <c r="F44" s="9" t="s">
        <v>5</v>
      </c>
      <c r="G44" s="10">
        <v>1000</v>
      </c>
    </row>
    <row r="45" spans="1:7" x14ac:dyDescent="0.35">
      <c r="A45" s="8" t="s">
        <v>855</v>
      </c>
      <c r="B45" s="9" t="s">
        <v>933</v>
      </c>
      <c r="C45" s="4">
        <v>42571</v>
      </c>
      <c r="D45" s="4">
        <v>42657</v>
      </c>
      <c r="E45" t="s">
        <v>934</v>
      </c>
      <c r="F45" s="9" t="s">
        <v>5</v>
      </c>
      <c r="G45" s="10">
        <v>1080</v>
      </c>
    </row>
    <row r="46" spans="1:7" x14ac:dyDescent="0.35">
      <c r="A46" s="8" t="s">
        <v>855</v>
      </c>
      <c r="B46" s="9" t="s">
        <v>938</v>
      </c>
      <c r="C46" s="4">
        <v>42571</v>
      </c>
      <c r="D46" s="4">
        <v>42788</v>
      </c>
      <c r="E46" t="s">
        <v>934</v>
      </c>
      <c r="F46" s="9" t="s">
        <v>5</v>
      </c>
      <c r="G46" s="10">
        <v>1080</v>
      </c>
    </row>
    <row r="47" spans="1:7" x14ac:dyDescent="0.35">
      <c r="A47" s="8" t="s">
        <v>855</v>
      </c>
      <c r="B47" s="9" t="s">
        <v>856</v>
      </c>
      <c r="C47" s="4">
        <v>42571</v>
      </c>
      <c r="D47" s="4">
        <v>42822</v>
      </c>
      <c r="E47" t="s">
        <v>857</v>
      </c>
      <c r="F47" s="9" t="s">
        <v>5</v>
      </c>
      <c r="G47" s="10">
        <v>150</v>
      </c>
    </row>
    <row r="48" spans="1:7" x14ac:dyDescent="0.35">
      <c r="A48" s="8" t="s">
        <v>855</v>
      </c>
      <c r="B48" s="9" t="s">
        <v>892</v>
      </c>
      <c r="C48" s="4">
        <v>42571</v>
      </c>
      <c r="D48" s="4">
        <v>42912</v>
      </c>
      <c r="E48" t="s">
        <v>893</v>
      </c>
      <c r="F48" s="9" t="s">
        <v>5</v>
      </c>
      <c r="G48" s="10">
        <v>750</v>
      </c>
    </row>
    <row r="49" spans="1:7" x14ac:dyDescent="0.35">
      <c r="A49" s="8" t="s">
        <v>1031</v>
      </c>
      <c r="B49" s="9" t="s">
        <v>1035</v>
      </c>
      <c r="C49" s="4">
        <v>42571</v>
      </c>
      <c r="D49" s="4">
        <v>42905</v>
      </c>
      <c r="E49" t="s">
        <v>1036</v>
      </c>
      <c r="F49" s="9" t="s">
        <v>5</v>
      </c>
      <c r="G49" s="10">
        <v>2500</v>
      </c>
    </row>
    <row r="50" spans="1:7" x14ac:dyDescent="0.35">
      <c r="A50" s="8" t="s">
        <v>855</v>
      </c>
      <c r="B50" s="9" t="s">
        <v>899</v>
      </c>
      <c r="C50" s="4">
        <v>42571</v>
      </c>
      <c r="D50" s="4">
        <v>42614</v>
      </c>
      <c r="E50" t="s">
        <v>900</v>
      </c>
      <c r="F50" s="9" t="s">
        <v>5</v>
      </c>
      <c r="G50" s="10">
        <v>900</v>
      </c>
    </row>
    <row r="51" spans="1:7" x14ac:dyDescent="0.35">
      <c r="A51" s="8" t="s">
        <v>855</v>
      </c>
      <c r="B51" s="9" t="s">
        <v>886</v>
      </c>
      <c r="C51" s="4">
        <v>42571</v>
      </c>
      <c r="D51" s="4">
        <v>42632</v>
      </c>
      <c r="E51" t="s">
        <v>887</v>
      </c>
      <c r="F51" s="9" t="s">
        <v>5</v>
      </c>
      <c r="G51" s="10">
        <v>750</v>
      </c>
    </row>
    <row r="52" spans="1:7" x14ac:dyDescent="0.35">
      <c r="A52" s="8" t="s">
        <v>855</v>
      </c>
      <c r="B52" s="9" t="s">
        <v>941</v>
      </c>
      <c r="C52" s="4">
        <v>42571</v>
      </c>
      <c r="D52" s="4">
        <v>42788</v>
      </c>
      <c r="E52" t="s">
        <v>887</v>
      </c>
      <c r="F52" s="9" t="s">
        <v>5</v>
      </c>
      <c r="G52" s="10">
        <v>1080</v>
      </c>
    </row>
    <row r="53" spans="1:7" x14ac:dyDescent="0.35">
      <c r="A53" s="8" t="s">
        <v>983</v>
      </c>
      <c r="B53" s="9" t="s">
        <v>1023</v>
      </c>
      <c r="C53" s="4">
        <v>42571</v>
      </c>
      <c r="D53" s="4">
        <v>42872</v>
      </c>
      <c r="E53" t="s">
        <v>1024</v>
      </c>
      <c r="F53" s="9" t="s">
        <v>5</v>
      </c>
      <c r="G53" s="10">
        <v>1000</v>
      </c>
    </row>
    <row r="54" spans="1:7" x14ac:dyDescent="0.35">
      <c r="A54" s="8" t="s">
        <v>1031</v>
      </c>
      <c r="B54" s="9" t="s">
        <v>1041</v>
      </c>
      <c r="C54" s="4">
        <v>42571</v>
      </c>
      <c r="D54" s="4">
        <v>42835</v>
      </c>
      <c r="E54" t="s">
        <v>1042</v>
      </c>
      <c r="F54" s="9" t="s">
        <v>5</v>
      </c>
      <c r="G54" s="10">
        <v>8000</v>
      </c>
    </row>
    <row r="55" spans="1:7" x14ac:dyDescent="0.35">
      <c r="A55" s="8" t="s">
        <v>855</v>
      </c>
      <c r="B55" s="9" t="s">
        <v>880</v>
      </c>
      <c r="C55" s="4">
        <v>42571</v>
      </c>
      <c r="D55" s="4">
        <v>42901</v>
      </c>
      <c r="E55" t="s">
        <v>55</v>
      </c>
      <c r="F55" s="9" t="s">
        <v>5</v>
      </c>
      <c r="G55" s="10">
        <v>575</v>
      </c>
    </row>
    <row r="56" spans="1:7" x14ac:dyDescent="0.35">
      <c r="A56" s="8" t="s">
        <v>983</v>
      </c>
      <c r="B56" s="9" t="s">
        <v>1009</v>
      </c>
      <c r="C56" s="4">
        <v>42571</v>
      </c>
      <c r="D56" s="4">
        <v>42877</v>
      </c>
      <c r="E56" t="s">
        <v>1010</v>
      </c>
      <c r="F56" s="9" t="s">
        <v>5</v>
      </c>
      <c r="G56" s="10">
        <v>996</v>
      </c>
    </row>
    <row r="57" spans="1:7" x14ac:dyDescent="0.35">
      <c r="A57" s="8" t="s">
        <v>855</v>
      </c>
      <c r="B57" s="9" t="s">
        <v>862</v>
      </c>
      <c r="C57" s="4">
        <v>42571</v>
      </c>
      <c r="D57" s="4">
        <v>42657</v>
      </c>
      <c r="E57" t="s">
        <v>863</v>
      </c>
      <c r="F57" s="9" t="s">
        <v>5</v>
      </c>
      <c r="G57" s="10">
        <v>207</v>
      </c>
    </row>
    <row r="58" spans="1:7" x14ac:dyDescent="0.35">
      <c r="A58" s="8" t="s">
        <v>855</v>
      </c>
      <c r="B58" s="9" t="s">
        <v>872</v>
      </c>
      <c r="C58" s="4">
        <v>42571</v>
      </c>
      <c r="D58" s="4">
        <v>42902</v>
      </c>
      <c r="E58" t="s">
        <v>873</v>
      </c>
      <c r="F58" s="9" t="s">
        <v>5</v>
      </c>
      <c r="G58" s="10">
        <v>315</v>
      </c>
    </row>
    <row r="59" spans="1:7" x14ac:dyDescent="0.35">
      <c r="A59" s="8" t="s">
        <v>1031</v>
      </c>
      <c r="B59" s="9" t="s">
        <v>1039</v>
      </c>
      <c r="C59" s="4">
        <v>42571</v>
      </c>
      <c r="D59" s="4">
        <v>42835</v>
      </c>
      <c r="E59" t="s">
        <v>1040</v>
      </c>
      <c r="F59" s="9" t="s">
        <v>5</v>
      </c>
      <c r="G59" s="10">
        <v>6323</v>
      </c>
    </row>
    <row r="60" spans="1:7" x14ac:dyDescent="0.35">
      <c r="A60" s="8" t="s">
        <v>855</v>
      </c>
      <c r="B60" s="9" t="s">
        <v>882</v>
      </c>
      <c r="C60" s="4">
        <v>42571</v>
      </c>
      <c r="D60" s="4">
        <v>42676</v>
      </c>
      <c r="E60" t="s">
        <v>883</v>
      </c>
      <c r="F60" s="9" t="s">
        <v>5</v>
      </c>
      <c r="G60" s="10">
        <v>700</v>
      </c>
    </row>
    <row r="61" spans="1:7" x14ac:dyDescent="0.35">
      <c r="A61" s="8" t="s">
        <v>855</v>
      </c>
      <c r="B61" s="9" t="s">
        <v>953</v>
      </c>
      <c r="C61" s="4">
        <v>42571</v>
      </c>
      <c r="D61" s="4">
        <v>42912</v>
      </c>
      <c r="E61" t="s">
        <v>954</v>
      </c>
      <c r="F61" s="9" t="s">
        <v>5</v>
      </c>
      <c r="G61" s="10">
        <v>1500</v>
      </c>
    </row>
    <row r="62" spans="1:7" x14ac:dyDescent="0.35">
      <c r="A62" s="8" t="s">
        <v>855</v>
      </c>
      <c r="B62" s="9" t="s">
        <v>890</v>
      </c>
      <c r="C62" s="4">
        <v>42571</v>
      </c>
      <c r="D62" s="4">
        <v>42912</v>
      </c>
      <c r="E62" t="s">
        <v>891</v>
      </c>
      <c r="F62" s="9" t="s">
        <v>5</v>
      </c>
      <c r="G62" s="10">
        <v>750</v>
      </c>
    </row>
    <row r="63" spans="1:7" x14ac:dyDescent="0.35">
      <c r="A63" s="8" t="s">
        <v>855</v>
      </c>
      <c r="B63" s="9" t="s">
        <v>960</v>
      </c>
      <c r="C63" s="4">
        <v>42571</v>
      </c>
      <c r="D63" s="4">
        <v>42965</v>
      </c>
      <c r="E63" t="s">
        <v>961</v>
      </c>
      <c r="F63" s="9" t="s">
        <v>5</v>
      </c>
      <c r="G63" s="10">
        <v>2000</v>
      </c>
    </row>
    <row r="64" spans="1:7" x14ac:dyDescent="0.35">
      <c r="A64" s="8" t="s">
        <v>855</v>
      </c>
      <c r="B64" s="9" t="s">
        <v>947</v>
      </c>
      <c r="C64" s="4">
        <v>42571</v>
      </c>
      <c r="D64" s="4">
        <v>42802</v>
      </c>
      <c r="E64" t="s">
        <v>948</v>
      </c>
      <c r="F64" s="9" t="s">
        <v>5</v>
      </c>
      <c r="G64" s="10">
        <v>1350</v>
      </c>
    </row>
    <row r="65" spans="1:7" x14ac:dyDescent="0.35">
      <c r="A65" s="8" t="s">
        <v>855</v>
      </c>
      <c r="B65" s="9" t="s">
        <v>888</v>
      </c>
      <c r="C65" s="4">
        <v>42571</v>
      </c>
      <c r="D65" s="4">
        <v>42843</v>
      </c>
      <c r="E65" t="s">
        <v>889</v>
      </c>
      <c r="F65" s="9" t="s">
        <v>5</v>
      </c>
      <c r="G65" s="10">
        <v>750</v>
      </c>
    </row>
    <row r="66" spans="1:7" x14ac:dyDescent="0.35">
      <c r="A66" s="8" t="s">
        <v>855</v>
      </c>
      <c r="B66" s="9" t="s">
        <v>939</v>
      </c>
      <c r="C66" s="4">
        <v>42571</v>
      </c>
      <c r="D66" s="4">
        <v>42788</v>
      </c>
      <c r="E66" t="s">
        <v>940</v>
      </c>
      <c r="F66" s="9" t="s">
        <v>5</v>
      </c>
      <c r="G66" s="10">
        <v>1080</v>
      </c>
    </row>
    <row r="67" spans="1:7" x14ac:dyDescent="0.35">
      <c r="A67" s="8" t="s">
        <v>983</v>
      </c>
      <c r="B67" s="9" t="s">
        <v>1001</v>
      </c>
      <c r="C67" s="4">
        <v>42571</v>
      </c>
      <c r="D67" s="4">
        <v>42857</v>
      </c>
      <c r="E67" t="s">
        <v>1002</v>
      </c>
      <c r="F67" s="9" t="s">
        <v>5</v>
      </c>
      <c r="G67" s="10">
        <v>985.99</v>
      </c>
    </row>
    <row r="68" spans="1:7" x14ac:dyDescent="0.35">
      <c r="A68" s="8" t="s">
        <v>983</v>
      </c>
      <c r="B68" s="9" t="s">
        <v>1017</v>
      </c>
      <c r="C68" s="4">
        <v>42571</v>
      </c>
      <c r="D68" s="4">
        <v>42762</v>
      </c>
      <c r="E68" t="s">
        <v>1018</v>
      </c>
      <c r="F68" s="9" t="s">
        <v>5</v>
      </c>
      <c r="G68" s="10">
        <v>1000</v>
      </c>
    </row>
    <row r="69" spans="1:7" x14ac:dyDescent="0.35">
      <c r="A69" s="8" t="s">
        <v>855</v>
      </c>
      <c r="B69" s="9" t="s">
        <v>944</v>
      </c>
      <c r="C69" s="4">
        <v>42571</v>
      </c>
      <c r="D69" s="4">
        <v>42788</v>
      </c>
      <c r="E69" t="s">
        <v>945</v>
      </c>
      <c r="F69" s="9" t="s">
        <v>5</v>
      </c>
      <c r="G69" s="10">
        <v>1080</v>
      </c>
    </row>
    <row r="70" spans="1:7" x14ac:dyDescent="0.35">
      <c r="A70" s="8" t="s">
        <v>855</v>
      </c>
      <c r="B70" s="9" t="s">
        <v>860</v>
      </c>
      <c r="C70" s="4">
        <v>42571</v>
      </c>
      <c r="D70" s="4">
        <v>42822</v>
      </c>
      <c r="E70" t="s">
        <v>861</v>
      </c>
      <c r="F70" s="9" t="s">
        <v>5</v>
      </c>
      <c r="G70" s="10">
        <v>150</v>
      </c>
    </row>
    <row r="71" spans="1:7" x14ac:dyDescent="0.35">
      <c r="A71" s="8" t="s">
        <v>855</v>
      </c>
      <c r="B71" s="9" t="s">
        <v>923</v>
      </c>
      <c r="C71" s="4">
        <v>42571</v>
      </c>
      <c r="D71" s="4">
        <v>42635</v>
      </c>
      <c r="E71" t="s">
        <v>924</v>
      </c>
      <c r="F71" s="9" t="s">
        <v>5</v>
      </c>
      <c r="G71" s="10">
        <v>1080</v>
      </c>
    </row>
    <row r="72" spans="1:7" x14ac:dyDescent="0.35">
      <c r="A72" s="8" t="s">
        <v>983</v>
      </c>
      <c r="B72" s="9" t="s">
        <v>1025</v>
      </c>
      <c r="C72" s="4">
        <v>42571</v>
      </c>
      <c r="D72" s="4">
        <v>42877</v>
      </c>
      <c r="E72" t="s">
        <v>1026</v>
      </c>
      <c r="F72" s="9" t="s">
        <v>5</v>
      </c>
      <c r="G72" s="10">
        <v>1000</v>
      </c>
    </row>
    <row r="73" spans="1:7" x14ac:dyDescent="0.35">
      <c r="A73" s="8" t="s">
        <v>855</v>
      </c>
      <c r="B73" s="9" t="s">
        <v>895</v>
      </c>
      <c r="C73" s="4">
        <v>42571</v>
      </c>
      <c r="D73" s="4">
        <v>42611</v>
      </c>
      <c r="E73" t="s">
        <v>896</v>
      </c>
      <c r="F73" s="9" t="s">
        <v>5</v>
      </c>
      <c r="G73" s="10">
        <v>900</v>
      </c>
    </row>
    <row r="74" spans="1:7" x14ac:dyDescent="0.35">
      <c r="A74" s="8" t="s">
        <v>983</v>
      </c>
      <c r="B74" s="9" t="s">
        <v>1003</v>
      </c>
      <c r="C74" s="4">
        <v>42571</v>
      </c>
      <c r="D74" s="4">
        <v>42912</v>
      </c>
      <c r="E74" t="s">
        <v>1004</v>
      </c>
      <c r="F74" s="9" t="s">
        <v>5</v>
      </c>
      <c r="G74" s="10">
        <v>993.5</v>
      </c>
    </row>
    <row r="75" spans="1:7" x14ac:dyDescent="0.35">
      <c r="A75" s="8" t="s">
        <v>1031</v>
      </c>
      <c r="B75" s="9" t="s">
        <v>1043</v>
      </c>
      <c r="C75" s="4">
        <v>42571</v>
      </c>
      <c r="D75" s="4">
        <v>42891</v>
      </c>
      <c r="E75" t="s">
        <v>1044</v>
      </c>
      <c r="F75" s="9" t="s">
        <v>5</v>
      </c>
      <c r="G75" s="10">
        <v>9975</v>
      </c>
    </row>
    <row r="76" spans="1:7" x14ac:dyDescent="0.35">
      <c r="A76" s="8" t="s">
        <v>855</v>
      </c>
      <c r="B76" s="9" t="s">
        <v>977</v>
      </c>
      <c r="C76" s="4">
        <v>42571</v>
      </c>
      <c r="D76" s="4">
        <v>42846</v>
      </c>
      <c r="E76" t="s">
        <v>64</v>
      </c>
      <c r="F76" s="9" t="s">
        <v>5</v>
      </c>
      <c r="G76" s="10">
        <v>6172.5</v>
      </c>
    </row>
    <row r="77" spans="1:7" x14ac:dyDescent="0.35">
      <c r="A77" s="8" t="s">
        <v>855</v>
      </c>
      <c r="B77" s="9" t="s">
        <v>972</v>
      </c>
      <c r="C77" s="4">
        <v>42571</v>
      </c>
      <c r="D77" s="4">
        <v>42723</v>
      </c>
      <c r="E77" t="s">
        <v>973</v>
      </c>
      <c r="F77" s="9" t="s">
        <v>5</v>
      </c>
      <c r="G77" s="10">
        <v>2800</v>
      </c>
    </row>
    <row r="78" spans="1:7" x14ac:dyDescent="0.35">
      <c r="A78" s="8" t="s">
        <v>855</v>
      </c>
      <c r="B78" s="9" t="s">
        <v>907</v>
      </c>
      <c r="C78" s="4">
        <v>42571</v>
      </c>
      <c r="D78" s="4">
        <v>42678</v>
      </c>
      <c r="E78" t="s">
        <v>91</v>
      </c>
      <c r="F78" s="9" t="s">
        <v>5</v>
      </c>
      <c r="G78" s="10">
        <v>916.25</v>
      </c>
    </row>
    <row r="79" spans="1:7" x14ac:dyDescent="0.35">
      <c r="A79" s="8" t="s">
        <v>855</v>
      </c>
      <c r="B79" s="9" t="s">
        <v>894</v>
      </c>
      <c r="C79" s="4">
        <v>42571</v>
      </c>
      <c r="D79" s="4">
        <v>42824</v>
      </c>
      <c r="E79" t="s">
        <v>91</v>
      </c>
      <c r="F79" s="9" t="s">
        <v>5</v>
      </c>
      <c r="G79" s="10">
        <v>780</v>
      </c>
    </row>
    <row r="80" spans="1:7" x14ac:dyDescent="0.35">
      <c r="A80" s="8" t="s">
        <v>855</v>
      </c>
      <c r="B80" s="9" t="s">
        <v>965</v>
      </c>
      <c r="C80" s="4">
        <v>42571</v>
      </c>
      <c r="D80" s="4">
        <v>42634</v>
      </c>
      <c r="E80" t="s">
        <v>57</v>
      </c>
      <c r="F80" s="9" t="s">
        <v>5</v>
      </c>
      <c r="G80" s="10">
        <v>2400</v>
      </c>
    </row>
    <row r="81" spans="1:7" x14ac:dyDescent="0.35">
      <c r="A81" s="8" t="s">
        <v>855</v>
      </c>
      <c r="B81" s="9" t="s">
        <v>967</v>
      </c>
      <c r="C81" s="4">
        <v>42571</v>
      </c>
      <c r="D81" s="4">
        <v>42830</v>
      </c>
      <c r="E81" t="s">
        <v>57</v>
      </c>
      <c r="F81" s="9" t="s">
        <v>5</v>
      </c>
      <c r="G81" s="10">
        <v>2500</v>
      </c>
    </row>
    <row r="82" spans="1:7" x14ac:dyDescent="0.35">
      <c r="A82" s="8" t="s">
        <v>855</v>
      </c>
      <c r="B82" s="9" t="s">
        <v>955</v>
      </c>
      <c r="C82" s="4">
        <v>42571</v>
      </c>
      <c r="D82" s="4">
        <v>42802</v>
      </c>
      <c r="E82" t="s">
        <v>956</v>
      </c>
      <c r="F82" s="9" t="s">
        <v>5</v>
      </c>
      <c r="G82" s="10">
        <v>1750</v>
      </c>
    </row>
    <row r="83" spans="1:7" x14ac:dyDescent="0.35">
      <c r="A83" s="8" t="s">
        <v>855</v>
      </c>
      <c r="B83" s="9" t="s">
        <v>949</v>
      </c>
      <c r="C83" s="4">
        <v>42571</v>
      </c>
      <c r="D83" s="4">
        <v>42923</v>
      </c>
      <c r="E83" t="s">
        <v>950</v>
      </c>
      <c r="F83" s="9" t="s">
        <v>5</v>
      </c>
      <c r="G83" s="10">
        <v>1490</v>
      </c>
    </row>
    <row r="84" spans="1:7" x14ac:dyDescent="0.35">
      <c r="A84" s="8" t="s">
        <v>855</v>
      </c>
      <c r="B84" s="9" t="s">
        <v>952</v>
      </c>
      <c r="C84" s="4">
        <v>42571</v>
      </c>
      <c r="D84" s="4">
        <v>42648</v>
      </c>
      <c r="E84" t="s">
        <v>45</v>
      </c>
      <c r="F84" s="9" t="s">
        <v>5</v>
      </c>
      <c r="G84" s="10">
        <v>1500</v>
      </c>
    </row>
    <row r="85" spans="1:7" x14ac:dyDescent="0.35">
      <c r="A85" s="8" t="s">
        <v>855</v>
      </c>
      <c r="B85" s="9" t="s">
        <v>901</v>
      </c>
      <c r="C85" s="4">
        <v>42571</v>
      </c>
      <c r="D85" s="4">
        <v>42632</v>
      </c>
      <c r="E85" t="s">
        <v>902</v>
      </c>
      <c r="F85" s="9" t="s">
        <v>5</v>
      </c>
      <c r="G85" s="10">
        <v>900</v>
      </c>
    </row>
    <row r="86" spans="1:7" x14ac:dyDescent="0.35">
      <c r="A86" s="8" t="s">
        <v>983</v>
      </c>
      <c r="B86" s="9" t="s">
        <v>1005</v>
      </c>
      <c r="C86" s="4">
        <v>42571</v>
      </c>
      <c r="D86" s="4">
        <v>42766</v>
      </c>
      <c r="E86" t="s">
        <v>1006</v>
      </c>
      <c r="F86" s="9" t="s">
        <v>5</v>
      </c>
      <c r="G86" s="10">
        <v>995.4</v>
      </c>
    </row>
    <row r="87" spans="1:7" x14ac:dyDescent="0.35">
      <c r="A87" s="8" t="s">
        <v>855</v>
      </c>
      <c r="B87" s="9" t="s">
        <v>866</v>
      </c>
      <c r="C87" s="4">
        <v>42571</v>
      </c>
      <c r="D87" s="4">
        <v>42597</v>
      </c>
      <c r="E87" t="s">
        <v>867</v>
      </c>
      <c r="F87" s="9" t="s">
        <v>5</v>
      </c>
      <c r="G87" s="10">
        <v>300</v>
      </c>
    </row>
    <row r="88" spans="1:7" x14ac:dyDescent="0.35">
      <c r="A88" s="8" t="s">
        <v>855</v>
      </c>
      <c r="B88" s="9" t="s">
        <v>925</v>
      </c>
      <c r="C88" s="4">
        <v>42571</v>
      </c>
      <c r="D88" s="4">
        <v>42635</v>
      </c>
      <c r="E88" t="s">
        <v>926</v>
      </c>
      <c r="F88" s="9" t="s">
        <v>5</v>
      </c>
      <c r="G88" s="10">
        <v>1080</v>
      </c>
    </row>
    <row r="89" spans="1:7" x14ac:dyDescent="0.35">
      <c r="A89" s="8" t="s">
        <v>855</v>
      </c>
      <c r="B89" s="9" t="s">
        <v>936</v>
      </c>
      <c r="C89" s="4">
        <v>42571</v>
      </c>
      <c r="D89" s="4">
        <v>42788</v>
      </c>
      <c r="E89" t="s">
        <v>926</v>
      </c>
      <c r="F89" s="9" t="s">
        <v>5</v>
      </c>
      <c r="G89" s="10">
        <v>1080</v>
      </c>
    </row>
    <row r="90" spans="1:7" x14ac:dyDescent="0.35">
      <c r="A90" s="8" t="s">
        <v>855</v>
      </c>
      <c r="B90" s="9" t="s">
        <v>921</v>
      </c>
      <c r="C90" s="4">
        <v>42571</v>
      </c>
      <c r="D90" s="4">
        <v>42635</v>
      </c>
      <c r="E90" t="s">
        <v>922</v>
      </c>
      <c r="F90" s="9" t="s">
        <v>5</v>
      </c>
      <c r="G90" s="10">
        <v>1080</v>
      </c>
    </row>
    <row r="91" spans="1:7" x14ac:dyDescent="0.35">
      <c r="A91" s="8" t="s">
        <v>855</v>
      </c>
      <c r="B91" s="9" t="s">
        <v>937</v>
      </c>
      <c r="C91" s="4">
        <v>42571</v>
      </c>
      <c r="D91" s="4">
        <v>42788</v>
      </c>
      <c r="E91" t="s">
        <v>922</v>
      </c>
      <c r="F91" s="9" t="s">
        <v>5</v>
      </c>
      <c r="G91" s="10">
        <v>1080</v>
      </c>
    </row>
    <row r="92" spans="1:7" x14ac:dyDescent="0.35">
      <c r="A92" s="8" t="s">
        <v>983</v>
      </c>
      <c r="B92" s="9" t="s">
        <v>995</v>
      </c>
      <c r="C92" s="4">
        <v>42571</v>
      </c>
      <c r="D92" s="4">
        <v>42858</v>
      </c>
      <c r="E92" t="s">
        <v>996</v>
      </c>
      <c r="F92" s="9" t="s">
        <v>5</v>
      </c>
      <c r="G92" s="10">
        <v>609.95000000000005</v>
      </c>
    </row>
    <row r="93" spans="1:7" x14ac:dyDescent="0.35">
      <c r="A93" s="8" t="s">
        <v>855</v>
      </c>
      <c r="B93" s="9" t="s">
        <v>931</v>
      </c>
      <c r="C93" s="4">
        <v>42571</v>
      </c>
      <c r="D93" s="4">
        <v>42657</v>
      </c>
      <c r="E93" t="s">
        <v>932</v>
      </c>
      <c r="F93" s="9" t="s">
        <v>5</v>
      </c>
      <c r="G93" s="10">
        <v>1080</v>
      </c>
    </row>
    <row r="94" spans="1:7" x14ac:dyDescent="0.35">
      <c r="A94" s="8" t="s">
        <v>855</v>
      </c>
      <c r="B94" s="9" t="s">
        <v>943</v>
      </c>
      <c r="C94" s="4">
        <v>42571</v>
      </c>
      <c r="D94" s="4">
        <v>42788</v>
      </c>
      <c r="E94" t="s">
        <v>932</v>
      </c>
      <c r="F94" s="9" t="s">
        <v>5</v>
      </c>
      <c r="G94" s="10">
        <v>1080</v>
      </c>
    </row>
    <row r="95" spans="1:7" x14ac:dyDescent="0.35">
      <c r="A95" s="8" t="s">
        <v>983</v>
      </c>
      <c r="B95" s="9" t="s">
        <v>1015</v>
      </c>
      <c r="C95" s="4">
        <v>42571</v>
      </c>
      <c r="D95" s="4">
        <v>42828</v>
      </c>
      <c r="E95" t="s">
        <v>1016</v>
      </c>
      <c r="F95" s="9" t="s">
        <v>5</v>
      </c>
      <c r="G95" s="10">
        <v>999</v>
      </c>
    </row>
    <row r="96" spans="1:7" x14ac:dyDescent="0.35">
      <c r="A96" s="8" t="s">
        <v>1031</v>
      </c>
      <c r="B96" s="9" t="s">
        <v>1032</v>
      </c>
      <c r="C96" s="4">
        <v>42571</v>
      </c>
      <c r="D96" s="4">
        <v>42866</v>
      </c>
      <c r="E96" t="s">
        <v>1016</v>
      </c>
      <c r="F96" s="9" t="s">
        <v>5</v>
      </c>
      <c r="G96" s="10">
        <v>1170</v>
      </c>
    </row>
    <row r="97" spans="1:7" x14ac:dyDescent="0.35">
      <c r="A97" s="8" t="s">
        <v>855</v>
      </c>
      <c r="B97" s="9" t="s">
        <v>864</v>
      </c>
      <c r="C97" s="4">
        <v>42571</v>
      </c>
      <c r="D97" s="4">
        <v>42597</v>
      </c>
      <c r="E97" t="s">
        <v>865</v>
      </c>
      <c r="F97" s="9" t="s">
        <v>5</v>
      </c>
      <c r="G97" s="10">
        <v>300</v>
      </c>
    </row>
    <row r="98" spans="1:7" x14ac:dyDescent="0.35">
      <c r="A98" s="8" t="s">
        <v>983</v>
      </c>
      <c r="B98" s="9" t="s">
        <v>990</v>
      </c>
      <c r="C98" s="4">
        <v>42571</v>
      </c>
      <c r="D98" s="4">
        <v>42794</v>
      </c>
      <c r="E98" t="s">
        <v>991</v>
      </c>
      <c r="F98" s="9" t="s">
        <v>5</v>
      </c>
      <c r="G98" s="10">
        <v>428.66</v>
      </c>
    </row>
    <row r="99" spans="1:7" x14ac:dyDescent="0.35">
      <c r="A99" s="8" t="s">
        <v>855</v>
      </c>
      <c r="B99" s="9" t="s">
        <v>914</v>
      </c>
      <c r="C99" s="4">
        <v>42571</v>
      </c>
      <c r="D99" s="4">
        <v>42597</v>
      </c>
      <c r="E99" t="s">
        <v>915</v>
      </c>
      <c r="F99" s="9" t="s">
        <v>5</v>
      </c>
      <c r="G99" s="10">
        <v>1050</v>
      </c>
    </row>
    <row r="100" spans="1:7" x14ac:dyDescent="0.35">
      <c r="A100" s="8" t="s">
        <v>1031</v>
      </c>
      <c r="B100" s="9" t="s">
        <v>1037</v>
      </c>
      <c r="C100" s="4">
        <v>42571</v>
      </c>
      <c r="D100" s="4">
        <v>42906</v>
      </c>
      <c r="E100" t="s">
        <v>1038</v>
      </c>
      <c r="F100" s="9" t="s">
        <v>5</v>
      </c>
      <c r="G100" s="10">
        <v>3325</v>
      </c>
    </row>
    <row r="101" spans="1:7" x14ac:dyDescent="0.35">
      <c r="A101" s="8" t="s">
        <v>1031</v>
      </c>
      <c r="B101" s="9" t="s">
        <v>1033</v>
      </c>
      <c r="C101" s="4">
        <v>42571</v>
      </c>
      <c r="D101" s="4">
        <v>42858</v>
      </c>
      <c r="E101" t="s">
        <v>1034</v>
      </c>
      <c r="F101" s="9" t="s">
        <v>5</v>
      </c>
      <c r="G101" s="10">
        <v>2500</v>
      </c>
    </row>
    <row r="102" spans="1:7" x14ac:dyDescent="0.35">
      <c r="A102" s="8" t="s">
        <v>855</v>
      </c>
      <c r="B102" s="9" t="s">
        <v>946</v>
      </c>
      <c r="C102" s="4">
        <v>42571</v>
      </c>
      <c r="D102" s="4">
        <v>42790</v>
      </c>
      <c r="E102" t="s">
        <v>27</v>
      </c>
      <c r="F102" s="9" t="s">
        <v>5</v>
      </c>
      <c r="G102" s="10">
        <v>1080</v>
      </c>
    </row>
    <row r="103" spans="1:7" x14ac:dyDescent="0.35">
      <c r="A103" s="8" t="s">
        <v>855</v>
      </c>
      <c r="B103" s="9" t="s">
        <v>927</v>
      </c>
      <c r="C103" s="4">
        <v>42571</v>
      </c>
      <c r="D103" s="4">
        <v>42635</v>
      </c>
      <c r="E103" t="s">
        <v>23</v>
      </c>
      <c r="F103" s="9" t="s">
        <v>5</v>
      </c>
      <c r="G103" s="10">
        <v>1080</v>
      </c>
    </row>
    <row r="104" spans="1:7" x14ac:dyDescent="0.35">
      <c r="A104" s="8" t="s">
        <v>983</v>
      </c>
      <c r="B104" s="9" t="s">
        <v>999</v>
      </c>
      <c r="C104" s="4">
        <v>42571</v>
      </c>
      <c r="D104" s="4">
        <v>42859</v>
      </c>
      <c r="E104" t="s">
        <v>1000</v>
      </c>
      <c r="F104" s="9" t="s">
        <v>5</v>
      </c>
      <c r="G104" s="10">
        <v>969.98</v>
      </c>
    </row>
    <row r="105" spans="1:7" x14ac:dyDescent="0.35">
      <c r="A105" s="8" t="s">
        <v>855</v>
      </c>
      <c r="B105" s="9" t="s">
        <v>870</v>
      </c>
      <c r="C105" s="4">
        <v>42571</v>
      </c>
      <c r="D105" s="4">
        <v>42753</v>
      </c>
      <c r="E105" t="s">
        <v>871</v>
      </c>
      <c r="F105" s="9" t="s">
        <v>5</v>
      </c>
      <c r="G105" s="10">
        <v>300</v>
      </c>
    </row>
    <row r="106" spans="1:7" x14ac:dyDescent="0.35">
      <c r="A106" s="8" t="s">
        <v>855</v>
      </c>
      <c r="B106" s="9" t="s">
        <v>951</v>
      </c>
      <c r="C106" s="4">
        <v>42571</v>
      </c>
      <c r="D106" s="4">
        <v>42619</v>
      </c>
      <c r="E106" t="s">
        <v>918</v>
      </c>
      <c r="F106" s="9" t="s">
        <v>5</v>
      </c>
      <c r="G106" s="10">
        <v>1500</v>
      </c>
    </row>
    <row r="107" spans="1:7" x14ac:dyDescent="0.35">
      <c r="A107" s="8" t="s">
        <v>855</v>
      </c>
      <c r="B107" s="9" t="s">
        <v>917</v>
      </c>
      <c r="C107" s="4">
        <v>42571</v>
      </c>
      <c r="D107" s="4">
        <v>42619</v>
      </c>
      <c r="E107" t="s">
        <v>918</v>
      </c>
      <c r="F107" s="9" t="s">
        <v>5</v>
      </c>
      <c r="G107" s="10">
        <v>1080</v>
      </c>
    </row>
    <row r="108" spans="1:7" x14ac:dyDescent="0.35">
      <c r="A108" s="8" t="s">
        <v>855</v>
      </c>
      <c r="B108" s="9" t="s">
        <v>978</v>
      </c>
      <c r="C108" s="4">
        <v>42571</v>
      </c>
      <c r="D108" s="4">
        <v>42765</v>
      </c>
      <c r="E108" t="s">
        <v>51</v>
      </c>
      <c r="F108" s="9" t="s">
        <v>5</v>
      </c>
      <c r="G108" s="10">
        <v>7050</v>
      </c>
    </row>
    <row r="109" spans="1:7" x14ac:dyDescent="0.35">
      <c r="A109" s="8" t="s">
        <v>855</v>
      </c>
      <c r="B109" s="9" t="s">
        <v>919</v>
      </c>
      <c r="C109" s="4">
        <v>42571</v>
      </c>
      <c r="D109" s="4">
        <v>42635</v>
      </c>
      <c r="E109" t="s">
        <v>47</v>
      </c>
      <c r="F109" s="9" t="s">
        <v>5</v>
      </c>
      <c r="G109" s="10">
        <v>1080</v>
      </c>
    </row>
    <row r="110" spans="1:7" x14ac:dyDescent="0.35">
      <c r="A110" s="8" t="s">
        <v>855</v>
      </c>
      <c r="B110" s="9" t="s">
        <v>942</v>
      </c>
      <c r="C110" s="4">
        <v>42571</v>
      </c>
      <c r="D110" s="4">
        <v>42788</v>
      </c>
      <c r="E110" t="s">
        <v>47</v>
      </c>
      <c r="F110" s="9" t="s">
        <v>5</v>
      </c>
      <c r="G110" s="10">
        <v>1080</v>
      </c>
    </row>
    <row r="111" spans="1:7" x14ac:dyDescent="0.35">
      <c r="A111" s="8" t="s">
        <v>983</v>
      </c>
      <c r="B111" s="9" t="s">
        <v>997</v>
      </c>
      <c r="C111" s="4">
        <v>42571</v>
      </c>
      <c r="D111" s="4">
        <v>42937</v>
      </c>
      <c r="E111" t="s">
        <v>998</v>
      </c>
      <c r="F111" s="9" t="s">
        <v>5</v>
      </c>
      <c r="G111" s="10">
        <v>829.63</v>
      </c>
    </row>
    <row r="112" spans="1:7" x14ac:dyDescent="0.35">
      <c r="A112" s="8" t="s">
        <v>855</v>
      </c>
      <c r="B112" s="9" t="s">
        <v>884</v>
      </c>
      <c r="C112" s="4">
        <v>42571</v>
      </c>
      <c r="D112" s="4">
        <v>42628</v>
      </c>
      <c r="E112" t="s">
        <v>885</v>
      </c>
      <c r="F112" s="9" t="s">
        <v>5</v>
      </c>
      <c r="G112" s="10">
        <v>750</v>
      </c>
    </row>
    <row r="113" spans="1:7" x14ac:dyDescent="0.35">
      <c r="A113" s="8" t="s">
        <v>983</v>
      </c>
      <c r="B113" s="9" t="s">
        <v>988</v>
      </c>
      <c r="C113" s="4">
        <v>42571</v>
      </c>
      <c r="D113" s="4">
        <v>42913</v>
      </c>
      <c r="E113" t="s">
        <v>989</v>
      </c>
      <c r="F113" s="9" t="s">
        <v>5</v>
      </c>
      <c r="G113" s="10">
        <v>424</v>
      </c>
    </row>
    <row r="114" spans="1:7" x14ac:dyDescent="0.35">
      <c r="A114" s="8" t="s">
        <v>983</v>
      </c>
      <c r="B114" s="9" t="s">
        <v>1011</v>
      </c>
      <c r="C114" s="4">
        <v>42571</v>
      </c>
      <c r="D114" s="4">
        <v>42914</v>
      </c>
      <c r="E114" t="s">
        <v>1012</v>
      </c>
      <c r="F114" s="9" t="s">
        <v>5</v>
      </c>
      <c r="G114" s="10">
        <v>997.18</v>
      </c>
    </row>
    <row r="115" spans="1:7" x14ac:dyDescent="0.35">
      <c r="A115" s="8" t="s">
        <v>855</v>
      </c>
      <c r="B115" s="9" t="s">
        <v>908</v>
      </c>
      <c r="C115" s="4">
        <v>42571</v>
      </c>
      <c r="D115" s="4">
        <v>42648</v>
      </c>
      <c r="E115" t="s">
        <v>909</v>
      </c>
      <c r="F115" s="9" t="s">
        <v>5</v>
      </c>
      <c r="G115" s="10">
        <v>950</v>
      </c>
    </row>
    <row r="116" spans="1:7" x14ac:dyDescent="0.35">
      <c r="A116" s="8" t="s">
        <v>855</v>
      </c>
      <c r="B116" s="9" t="s">
        <v>897</v>
      </c>
      <c r="C116" s="4">
        <v>42571</v>
      </c>
      <c r="D116" s="4">
        <v>42612</v>
      </c>
      <c r="E116" t="s">
        <v>898</v>
      </c>
      <c r="F116" s="9" t="s">
        <v>5</v>
      </c>
      <c r="G116" s="10">
        <v>900</v>
      </c>
    </row>
    <row r="117" spans="1:7" x14ac:dyDescent="0.35">
      <c r="A117" s="8" t="s">
        <v>792</v>
      </c>
      <c r="B117" s="9" t="s">
        <v>793</v>
      </c>
      <c r="C117" s="4">
        <v>42599</v>
      </c>
      <c r="D117" s="4">
        <v>42704</v>
      </c>
      <c r="E117" t="s">
        <v>791</v>
      </c>
      <c r="F117" s="9" t="s">
        <v>5</v>
      </c>
      <c r="G117" s="10">
        <v>30983</v>
      </c>
    </row>
    <row r="118" spans="1:7" x14ac:dyDescent="0.35">
      <c r="A118" s="8" t="s">
        <v>789</v>
      </c>
      <c r="B118" s="9" t="s">
        <v>790</v>
      </c>
      <c r="C118" s="4">
        <v>42599</v>
      </c>
      <c r="D118" s="4">
        <v>42704</v>
      </c>
      <c r="E118" t="s">
        <v>791</v>
      </c>
      <c r="F118" s="9" t="s">
        <v>5</v>
      </c>
      <c r="G118" s="10">
        <v>24205</v>
      </c>
    </row>
    <row r="119" spans="1:7" x14ac:dyDescent="0.35">
      <c r="A119" s="8" t="s">
        <v>784</v>
      </c>
      <c r="B119" s="9" t="s">
        <v>785</v>
      </c>
      <c r="C119" s="4">
        <v>42599</v>
      </c>
      <c r="D119" s="4">
        <v>42640</v>
      </c>
      <c r="E119" t="s">
        <v>786</v>
      </c>
      <c r="F119" s="9" t="s">
        <v>5</v>
      </c>
      <c r="G119" s="10">
        <v>5323</v>
      </c>
    </row>
    <row r="120" spans="1:7" x14ac:dyDescent="0.35">
      <c r="A120" s="8" t="s">
        <v>797</v>
      </c>
      <c r="B120" s="9" t="s">
        <v>798</v>
      </c>
      <c r="C120" s="4">
        <v>42599</v>
      </c>
      <c r="D120" s="4">
        <v>42628</v>
      </c>
      <c r="E120" t="s">
        <v>799</v>
      </c>
      <c r="F120" s="9" t="s">
        <v>5</v>
      </c>
      <c r="G120" s="10">
        <v>10527</v>
      </c>
    </row>
    <row r="121" spans="1:7" x14ac:dyDescent="0.35">
      <c r="A121" s="8" t="s">
        <v>787</v>
      </c>
      <c r="B121" s="9" t="s">
        <v>788</v>
      </c>
      <c r="C121" s="4">
        <v>42599</v>
      </c>
      <c r="D121" s="4">
        <v>42654</v>
      </c>
      <c r="E121" t="s">
        <v>774</v>
      </c>
      <c r="F121" s="9" t="s">
        <v>5</v>
      </c>
      <c r="G121" s="10">
        <v>11868</v>
      </c>
    </row>
    <row r="122" spans="1:7" x14ac:dyDescent="0.35">
      <c r="A122" s="8" t="s">
        <v>794</v>
      </c>
      <c r="B122" s="9" t="s">
        <v>795</v>
      </c>
      <c r="C122" s="4">
        <v>42599</v>
      </c>
      <c r="D122" s="4">
        <v>42626</v>
      </c>
      <c r="E122" t="s">
        <v>796</v>
      </c>
      <c r="F122" s="9" t="s">
        <v>5</v>
      </c>
      <c r="G122" s="10">
        <v>4876</v>
      </c>
    </row>
    <row r="123" spans="1:7" x14ac:dyDescent="0.35">
      <c r="A123" s="8" t="s">
        <v>158</v>
      </c>
      <c r="B123" s="9" t="s">
        <v>2569</v>
      </c>
      <c r="C123" s="4">
        <v>42600</v>
      </c>
      <c r="D123" s="4"/>
      <c r="E123" t="s">
        <v>159</v>
      </c>
      <c r="F123" s="11" t="s">
        <v>4</v>
      </c>
      <c r="G123" s="10">
        <v>150000</v>
      </c>
    </row>
    <row r="124" spans="1:7" x14ac:dyDescent="0.35">
      <c r="A124" s="8" t="s">
        <v>1045</v>
      </c>
      <c r="B124" s="9" t="s">
        <v>1046</v>
      </c>
      <c r="C124" s="4">
        <v>42612</v>
      </c>
      <c r="D124" s="4">
        <v>42754</v>
      </c>
      <c r="E124" t="s">
        <v>1047</v>
      </c>
      <c r="F124" s="9" t="s">
        <v>5</v>
      </c>
      <c r="G124" s="10">
        <v>4500</v>
      </c>
    </row>
    <row r="125" spans="1:7" x14ac:dyDescent="0.35">
      <c r="A125" s="8" t="s">
        <v>1051</v>
      </c>
      <c r="B125" s="9" t="s">
        <v>1052</v>
      </c>
      <c r="C125" s="4">
        <v>42621</v>
      </c>
      <c r="D125" s="4">
        <v>42663</v>
      </c>
      <c r="E125" t="s">
        <v>1053</v>
      </c>
      <c r="F125" s="9" t="s">
        <v>5</v>
      </c>
      <c r="G125" s="10">
        <v>130520</v>
      </c>
    </row>
    <row r="126" spans="1:7" x14ac:dyDescent="0.35">
      <c r="A126" s="8" t="s">
        <v>1067</v>
      </c>
      <c r="B126" s="9" t="s">
        <v>1068</v>
      </c>
      <c r="C126" s="4">
        <v>42628</v>
      </c>
      <c r="D126" s="4">
        <v>42914</v>
      </c>
      <c r="E126" t="s">
        <v>1069</v>
      </c>
      <c r="F126" s="9" t="s">
        <v>5</v>
      </c>
      <c r="G126" s="10">
        <v>40000</v>
      </c>
    </row>
    <row r="127" spans="1:7" x14ac:dyDescent="0.35">
      <c r="A127" s="8" t="s">
        <v>1067</v>
      </c>
      <c r="B127" s="9" t="s">
        <v>1076</v>
      </c>
      <c r="C127" s="4">
        <v>42628</v>
      </c>
      <c r="D127" s="4">
        <v>42774</v>
      </c>
      <c r="E127" t="s">
        <v>1077</v>
      </c>
      <c r="F127" s="9" t="s">
        <v>5</v>
      </c>
      <c r="G127" s="10">
        <v>50000</v>
      </c>
    </row>
    <row r="128" spans="1:7" x14ac:dyDescent="0.35">
      <c r="A128" s="8" t="s">
        <v>1067</v>
      </c>
      <c r="B128" s="9" t="s">
        <v>1072</v>
      </c>
      <c r="C128" s="4">
        <v>42628</v>
      </c>
      <c r="D128" s="4">
        <v>42674</v>
      </c>
      <c r="E128" t="s">
        <v>1073</v>
      </c>
      <c r="F128" s="9" t="s">
        <v>5</v>
      </c>
      <c r="G128" s="10">
        <v>50000</v>
      </c>
    </row>
    <row r="129" spans="1:7" x14ac:dyDescent="0.35">
      <c r="A129" s="8" t="s">
        <v>1067</v>
      </c>
      <c r="B129" s="9" t="s">
        <v>1070</v>
      </c>
      <c r="C129" s="4">
        <v>42628</v>
      </c>
      <c r="D129" s="4">
        <v>42914</v>
      </c>
      <c r="E129" t="s">
        <v>1071</v>
      </c>
      <c r="F129" s="9" t="s">
        <v>5</v>
      </c>
      <c r="G129" s="10">
        <v>40000</v>
      </c>
    </row>
    <row r="130" spans="1:7" x14ac:dyDescent="0.35">
      <c r="A130" s="8" t="s">
        <v>163</v>
      </c>
      <c r="B130" s="9" t="s">
        <v>164</v>
      </c>
      <c r="C130" s="4">
        <v>42628</v>
      </c>
      <c r="D130" s="4">
        <v>42767</v>
      </c>
      <c r="E130" t="s">
        <v>165</v>
      </c>
      <c r="F130" s="11" t="s">
        <v>4</v>
      </c>
      <c r="G130" s="10">
        <v>474280</v>
      </c>
    </row>
    <row r="131" spans="1:7" x14ac:dyDescent="0.35">
      <c r="A131" s="8" t="s">
        <v>160</v>
      </c>
      <c r="B131" s="9" t="s">
        <v>161</v>
      </c>
      <c r="C131" s="4">
        <v>42628</v>
      </c>
      <c r="D131" s="4">
        <v>42718</v>
      </c>
      <c r="E131" t="s">
        <v>162</v>
      </c>
      <c r="F131" s="11" t="s">
        <v>4</v>
      </c>
      <c r="G131" s="10">
        <v>150000</v>
      </c>
    </row>
    <row r="132" spans="1:7" x14ac:dyDescent="0.35">
      <c r="A132" s="8" t="s">
        <v>1067</v>
      </c>
      <c r="B132" s="9" t="s">
        <v>1082</v>
      </c>
      <c r="C132" s="4">
        <v>42628</v>
      </c>
      <c r="D132" s="4">
        <v>42914</v>
      </c>
      <c r="E132" t="s">
        <v>1083</v>
      </c>
      <c r="F132" s="9" t="s">
        <v>5</v>
      </c>
      <c r="G132" s="10">
        <v>50000</v>
      </c>
    </row>
    <row r="133" spans="1:7" x14ac:dyDescent="0.35">
      <c r="A133" s="8" t="s">
        <v>1067</v>
      </c>
      <c r="B133" s="9" t="s">
        <v>1078</v>
      </c>
      <c r="C133" s="4">
        <v>42628</v>
      </c>
      <c r="D133" s="4">
        <v>42779</v>
      </c>
      <c r="E133" t="s">
        <v>446</v>
      </c>
      <c r="F133" s="9" t="s">
        <v>5</v>
      </c>
      <c r="G133" s="10">
        <v>50000</v>
      </c>
    </row>
    <row r="134" spans="1:7" x14ac:dyDescent="0.35">
      <c r="A134" s="8" t="s">
        <v>1067</v>
      </c>
      <c r="B134" s="9" t="s">
        <v>1079</v>
      </c>
      <c r="C134" s="4">
        <v>42628</v>
      </c>
      <c r="D134" s="4">
        <v>42779</v>
      </c>
      <c r="E134" t="s">
        <v>449</v>
      </c>
      <c r="F134" s="9" t="s">
        <v>5</v>
      </c>
      <c r="G134" s="10">
        <v>50000</v>
      </c>
    </row>
    <row r="135" spans="1:7" x14ac:dyDescent="0.35">
      <c r="A135" s="8" t="s">
        <v>1084</v>
      </c>
      <c r="B135" s="9" t="s">
        <v>1091</v>
      </c>
      <c r="C135" s="4">
        <v>42628</v>
      </c>
      <c r="D135" s="4">
        <v>42774</v>
      </c>
      <c r="E135" t="s">
        <v>449</v>
      </c>
      <c r="F135" s="9" t="s">
        <v>5</v>
      </c>
      <c r="G135" s="10">
        <v>23800</v>
      </c>
    </row>
    <row r="136" spans="1:7" x14ac:dyDescent="0.35">
      <c r="A136" s="8" t="s">
        <v>1084</v>
      </c>
      <c r="B136" s="9" t="s">
        <v>1092</v>
      </c>
      <c r="C136" s="4">
        <v>42628</v>
      </c>
      <c r="D136" s="4">
        <v>42683</v>
      </c>
      <c r="E136" t="s">
        <v>1093</v>
      </c>
      <c r="F136" s="9" t="s">
        <v>5</v>
      </c>
      <c r="G136" s="10">
        <v>50000</v>
      </c>
    </row>
    <row r="137" spans="1:7" x14ac:dyDescent="0.35">
      <c r="A137" s="8" t="s">
        <v>1084</v>
      </c>
      <c r="B137" s="9" t="s">
        <v>1089</v>
      </c>
      <c r="C137" s="4">
        <v>42628</v>
      </c>
      <c r="D137" s="4">
        <v>43262</v>
      </c>
      <c r="E137" t="s">
        <v>1090</v>
      </c>
      <c r="F137" s="9" t="s">
        <v>5</v>
      </c>
      <c r="G137" s="10">
        <v>20000</v>
      </c>
    </row>
    <row r="138" spans="1:7" x14ac:dyDescent="0.35">
      <c r="A138" s="8" t="s">
        <v>1067</v>
      </c>
      <c r="B138" s="9" t="s">
        <v>1080</v>
      </c>
      <c r="C138" s="4">
        <v>42628</v>
      </c>
      <c r="D138" s="4">
        <v>42781</v>
      </c>
      <c r="E138" t="s">
        <v>1081</v>
      </c>
      <c r="F138" s="9" t="s">
        <v>5</v>
      </c>
      <c r="G138" s="10">
        <v>50000</v>
      </c>
    </row>
    <row r="139" spans="1:7" x14ac:dyDescent="0.35">
      <c r="A139" s="8" t="s">
        <v>1084</v>
      </c>
      <c r="B139" s="9" t="s">
        <v>1085</v>
      </c>
      <c r="C139" s="4">
        <v>42628</v>
      </c>
      <c r="D139" s="4">
        <v>43187</v>
      </c>
      <c r="E139" t="s">
        <v>1086</v>
      </c>
      <c r="F139" s="9" t="s">
        <v>5</v>
      </c>
      <c r="G139" s="10">
        <v>5000</v>
      </c>
    </row>
    <row r="140" spans="1:7" x14ac:dyDescent="0.35">
      <c r="A140" s="8" t="s">
        <v>1084</v>
      </c>
      <c r="B140" s="9" t="s">
        <v>1087</v>
      </c>
      <c r="C140" s="4">
        <v>42628</v>
      </c>
      <c r="D140" s="4">
        <v>43077</v>
      </c>
      <c r="E140" t="s">
        <v>1088</v>
      </c>
      <c r="F140" s="9" t="s">
        <v>5</v>
      </c>
      <c r="G140" s="10">
        <v>15360</v>
      </c>
    </row>
    <row r="141" spans="1:7" x14ac:dyDescent="0.35">
      <c r="A141" s="8" t="s">
        <v>1067</v>
      </c>
      <c r="B141" s="9" t="s">
        <v>1074</v>
      </c>
      <c r="C141" s="4">
        <v>42628</v>
      </c>
      <c r="D141" s="4">
        <v>42726</v>
      </c>
      <c r="E141" t="s">
        <v>1075</v>
      </c>
      <c r="F141" s="9" t="s">
        <v>5</v>
      </c>
      <c r="G141" s="10">
        <v>50000</v>
      </c>
    </row>
    <row r="142" spans="1:7" x14ac:dyDescent="0.35">
      <c r="A142" s="8" t="s">
        <v>1048</v>
      </c>
      <c r="B142" s="9" t="s">
        <v>1049</v>
      </c>
      <c r="C142" s="4">
        <v>42639</v>
      </c>
      <c r="D142" s="4">
        <v>42745</v>
      </c>
      <c r="E142" t="s">
        <v>1050</v>
      </c>
      <c r="F142" s="9" t="s">
        <v>5</v>
      </c>
      <c r="G142" s="10">
        <v>23800</v>
      </c>
    </row>
    <row r="143" spans="1:7" x14ac:dyDescent="0.35">
      <c r="A143" s="8" t="s">
        <v>850</v>
      </c>
      <c r="B143" s="9" t="s">
        <v>851</v>
      </c>
      <c r="C143" s="4">
        <v>42645</v>
      </c>
      <c r="D143" s="4">
        <v>43074</v>
      </c>
      <c r="E143" t="s">
        <v>197</v>
      </c>
      <c r="F143" s="9" t="s">
        <v>5</v>
      </c>
      <c r="G143" s="10">
        <v>84339.59</v>
      </c>
    </row>
    <row r="144" spans="1:7" x14ac:dyDescent="0.35">
      <c r="A144" s="8" t="s">
        <v>813</v>
      </c>
      <c r="B144" s="9" t="s">
        <v>814</v>
      </c>
      <c r="C144" s="4">
        <v>42647</v>
      </c>
      <c r="D144" s="4">
        <v>42684</v>
      </c>
      <c r="E144" t="s">
        <v>815</v>
      </c>
      <c r="F144" s="9" t="s">
        <v>5</v>
      </c>
      <c r="G144" s="10">
        <v>33997</v>
      </c>
    </row>
    <row r="145" spans="1:7" x14ac:dyDescent="0.35">
      <c r="A145" s="8" t="s">
        <v>811</v>
      </c>
      <c r="B145" s="9" t="s">
        <v>812</v>
      </c>
      <c r="C145" s="4">
        <v>42647</v>
      </c>
      <c r="D145" s="4">
        <v>42675</v>
      </c>
      <c r="E145" t="s">
        <v>777</v>
      </c>
      <c r="F145" s="9" t="s">
        <v>5</v>
      </c>
      <c r="G145" s="10">
        <v>8866</v>
      </c>
    </row>
    <row r="146" spans="1:7" x14ac:dyDescent="0.35">
      <c r="A146" s="8" t="s">
        <v>800</v>
      </c>
      <c r="B146" s="9" t="s">
        <v>801</v>
      </c>
      <c r="C146" s="4">
        <v>42647</v>
      </c>
      <c r="D146" s="4">
        <v>42683</v>
      </c>
      <c r="E146" t="s">
        <v>802</v>
      </c>
      <c r="F146" s="9" t="s">
        <v>5</v>
      </c>
      <c r="G146" s="10">
        <v>4156</v>
      </c>
    </row>
    <row r="147" spans="1:7" x14ac:dyDescent="0.35">
      <c r="A147" s="8" t="s">
        <v>803</v>
      </c>
      <c r="B147" s="9" t="s">
        <v>804</v>
      </c>
      <c r="C147" s="4">
        <v>42647</v>
      </c>
      <c r="D147" s="4">
        <v>42684</v>
      </c>
      <c r="E147" t="s">
        <v>802</v>
      </c>
      <c r="F147" s="9" t="s">
        <v>5</v>
      </c>
      <c r="G147" s="10">
        <v>8335</v>
      </c>
    </row>
    <row r="148" spans="1:7" x14ac:dyDescent="0.35">
      <c r="A148" s="8" t="s">
        <v>819</v>
      </c>
      <c r="B148" s="9" t="s">
        <v>820</v>
      </c>
      <c r="C148" s="4">
        <v>42647</v>
      </c>
      <c r="D148" s="4">
        <v>42670</v>
      </c>
      <c r="E148" t="s">
        <v>821</v>
      </c>
      <c r="F148" s="9" t="s">
        <v>5</v>
      </c>
      <c r="G148" s="10">
        <v>3734</v>
      </c>
    </row>
    <row r="149" spans="1:7" x14ac:dyDescent="0.35">
      <c r="A149" s="8" t="s">
        <v>808</v>
      </c>
      <c r="B149" s="9" t="s">
        <v>809</v>
      </c>
      <c r="C149" s="4">
        <v>42647</v>
      </c>
      <c r="D149" s="4">
        <v>42674</v>
      </c>
      <c r="E149" t="s">
        <v>810</v>
      </c>
      <c r="F149" s="9" t="s">
        <v>5</v>
      </c>
      <c r="G149" s="10">
        <v>10302</v>
      </c>
    </row>
    <row r="150" spans="1:7" x14ac:dyDescent="0.35">
      <c r="A150" s="8" t="s">
        <v>816</v>
      </c>
      <c r="B150" s="9" t="s">
        <v>817</v>
      </c>
      <c r="C150" s="4">
        <v>42647</v>
      </c>
      <c r="D150" s="4">
        <v>42689</v>
      </c>
      <c r="E150" t="s">
        <v>818</v>
      </c>
      <c r="F150" s="9" t="s">
        <v>5</v>
      </c>
      <c r="G150" s="10">
        <v>711</v>
      </c>
    </row>
    <row r="151" spans="1:7" x14ac:dyDescent="0.35">
      <c r="A151" s="8" t="s">
        <v>805</v>
      </c>
      <c r="B151" s="9" t="s">
        <v>806</v>
      </c>
      <c r="C151" s="4">
        <v>42647</v>
      </c>
      <c r="D151" s="4">
        <v>42706</v>
      </c>
      <c r="E151" t="s">
        <v>807</v>
      </c>
      <c r="F151" s="9" t="s">
        <v>5</v>
      </c>
      <c r="G151" s="10">
        <v>8679</v>
      </c>
    </row>
    <row r="152" spans="1:7" x14ac:dyDescent="0.35">
      <c r="A152" s="8" t="s">
        <v>1060</v>
      </c>
      <c r="B152" s="9" t="s">
        <v>1061</v>
      </c>
      <c r="C152" s="4">
        <v>42654</v>
      </c>
      <c r="D152" s="4">
        <v>42723</v>
      </c>
      <c r="E152" t="s">
        <v>1062</v>
      </c>
      <c r="F152" s="9" t="s">
        <v>5</v>
      </c>
      <c r="G152" s="10">
        <v>26500</v>
      </c>
    </row>
    <row r="153" spans="1:7" x14ac:dyDescent="0.35">
      <c r="A153" s="8" t="s">
        <v>1065</v>
      </c>
      <c r="B153" s="9" t="s">
        <v>1066</v>
      </c>
      <c r="C153" s="4">
        <v>42657</v>
      </c>
      <c r="D153" s="4">
        <v>42723</v>
      </c>
      <c r="E153" t="s">
        <v>446</v>
      </c>
      <c r="F153" s="9" t="s">
        <v>5</v>
      </c>
      <c r="G153" s="10">
        <v>34170</v>
      </c>
    </row>
    <row r="154" spans="1:7" x14ac:dyDescent="0.35">
      <c r="A154" s="8" t="s">
        <v>1057</v>
      </c>
      <c r="B154" s="9" t="s">
        <v>1058</v>
      </c>
      <c r="C154" s="4">
        <v>42660</v>
      </c>
      <c r="D154" s="4">
        <v>42709</v>
      </c>
      <c r="E154" t="s">
        <v>1059</v>
      </c>
      <c r="F154" s="9" t="s">
        <v>5</v>
      </c>
      <c r="G154" s="10">
        <v>9500</v>
      </c>
    </row>
    <row r="155" spans="1:7" x14ac:dyDescent="0.35">
      <c r="A155" s="8" t="s">
        <v>1063</v>
      </c>
      <c r="B155" s="9" t="s">
        <v>1064</v>
      </c>
      <c r="C155" s="4">
        <v>42660</v>
      </c>
      <c r="D155" s="4">
        <v>42723</v>
      </c>
      <c r="E155" t="s">
        <v>446</v>
      </c>
      <c r="F155" s="9" t="s">
        <v>5</v>
      </c>
      <c r="G155" s="10">
        <v>19257</v>
      </c>
    </row>
    <row r="156" spans="1:7" x14ac:dyDescent="0.35">
      <c r="A156" s="8" t="s">
        <v>172</v>
      </c>
      <c r="B156" s="9" t="s">
        <v>173</v>
      </c>
      <c r="C156" s="4">
        <v>42663</v>
      </c>
      <c r="D156" s="4">
        <v>42877</v>
      </c>
      <c r="E156" t="s">
        <v>174</v>
      </c>
      <c r="F156" s="11" t="s">
        <v>4</v>
      </c>
      <c r="G156" s="10">
        <v>35000</v>
      </c>
    </row>
    <row r="157" spans="1:7" x14ac:dyDescent="0.35">
      <c r="A157" s="8" t="s">
        <v>175</v>
      </c>
      <c r="B157" s="9" t="s">
        <v>176</v>
      </c>
      <c r="C157" s="4">
        <v>42663</v>
      </c>
      <c r="D157" s="4">
        <v>42877</v>
      </c>
      <c r="E157" t="s">
        <v>174</v>
      </c>
      <c r="F157" s="11" t="s">
        <v>4</v>
      </c>
      <c r="G157" s="10">
        <v>500000</v>
      </c>
    </row>
    <row r="158" spans="1:7" x14ac:dyDescent="0.35">
      <c r="A158" s="8" t="s">
        <v>177</v>
      </c>
      <c r="B158" s="9" t="s">
        <v>178</v>
      </c>
      <c r="C158" s="4">
        <v>42663</v>
      </c>
      <c r="D158" s="4">
        <v>43082</v>
      </c>
      <c r="E158" t="s">
        <v>179</v>
      </c>
      <c r="F158" s="11" t="s">
        <v>4</v>
      </c>
      <c r="G158" s="10">
        <v>425000</v>
      </c>
    </row>
    <row r="159" spans="1:7" x14ac:dyDescent="0.35">
      <c r="A159" s="8" t="s">
        <v>180</v>
      </c>
      <c r="B159" s="9" t="s">
        <v>181</v>
      </c>
      <c r="C159" s="4">
        <v>42663</v>
      </c>
      <c r="D159" s="4">
        <v>43084</v>
      </c>
      <c r="E159" t="s">
        <v>179</v>
      </c>
      <c r="F159" s="11" t="s">
        <v>4</v>
      </c>
      <c r="G159" s="10">
        <v>400000</v>
      </c>
    </row>
    <row r="160" spans="1:7" x14ac:dyDescent="0.35">
      <c r="A160" s="8" t="s">
        <v>169</v>
      </c>
      <c r="B160" s="9" t="s">
        <v>170</v>
      </c>
      <c r="C160" s="4">
        <v>42663</v>
      </c>
      <c r="D160" s="4">
        <v>42377</v>
      </c>
      <c r="E160" t="s">
        <v>157</v>
      </c>
      <c r="F160" s="11" t="s">
        <v>4</v>
      </c>
      <c r="G160" s="10">
        <v>825000</v>
      </c>
    </row>
    <row r="161" spans="1:7" x14ac:dyDescent="0.35">
      <c r="A161" s="8" t="s">
        <v>166</v>
      </c>
      <c r="B161" s="9" t="s">
        <v>167</v>
      </c>
      <c r="C161" s="4">
        <v>42663</v>
      </c>
      <c r="D161" s="4">
        <v>42955</v>
      </c>
      <c r="E161" t="s">
        <v>168</v>
      </c>
      <c r="F161" s="11" t="s">
        <v>4</v>
      </c>
      <c r="G161" s="10">
        <v>302500</v>
      </c>
    </row>
    <row r="162" spans="1:7" x14ac:dyDescent="0.35">
      <c r="A162" s="8" t="s">
        <v>822</v>
      </c>
      <c r="B162" s="9" t="s">
        <v>823</v>
      </c>
      <c r="C162" s="4">
        <v>42671</v>
      </c>
      <c r="D162" s="4">
        <v>42706</v>
      </c>
      <c r="E162" t="s">
        <v>807</v>
      </c>
      <c r="F162" s="9" t="s">
        <v>5</v>
      </c>
      <c r="G162" s="10">
        <v>4198</v>
      </c>
    </row>
    <row r="163" spans="1:7" x14ac:dyDescent="0.35">
      <c r="A163" s="8" t="s">
        <v>1094</v>
      </c>
      <c r="B163" s="9" t="s">
        <v>1095</v>
      </c>
      <c r="C163" s="4">
        <v>42675</v>
      </c>
      <c r="D163" s="4">
        <v>42716</v>
      </c>
      <c r="E163" t="s">
        <v>347</v>
      </c>
      <c r="F163" s="9" t="s">
        <v>5</v>
      </c>
      <c r="G163" s="10">
        <v>3750</v>
      </c>
    </row>
    <row r="164" spans="1:7" x14ac:dyDescent="0.35">
      <c r="A164" s="8" t="s">
        <v>826</v>
      </c>
      <c r="B164" s="9" t="s">
        <v>827</v>
      </c>
      <c r="C164" s="4">
        <v>42710</v>
      </c>
      <c r="D164" s="4">
        <v>42779</v>
      </c>
      <c r="E164" t="s">
        <v>815</v>
      </c>
      <c r="F164" s="9" t="s">
        <v>5</v>
      </c>
      <c r="G164" s="10">
        <v>24160</v>
      </c>
    </row>
    <row r="165" spans="1:7" x14ac:dyDescent="0.35">
      <c r="A165" s="8" t="s">
        <v>836</v>
      </c>
      <c r="B165" s="9" t="s">
        <v>837</v>
      </c>
      <c r="C165" s="4">
        <v>42710</v>
      </c>
      <c r="D165" s="4">
        <v>42772</v>
      </c>
      <c r="E165" t="s">
        <v>777</v>
      </c>
      <c r="F165" s="9" t="s">
        <v>5</v>
      </c>
      <c r="G165" s="10">
        <v>22037</v>
      </c>
    </row>
    <row r="166" spans="1:7" x14ac:dyDescent="0.35">
      <c r="A166" s="8" t="s">
        <v>834</v>
      </c>
      <c r="B166" s="9" t="s">
        <v>835</v>
      </c>
      <c r="C166" s="4">
        <v>42710</v>
      </c>
      <c r="D166" s="4">
        <v>42793</v>
      </c>
      <c r="E166" t="s">
        <v>780</v>
      </c>
      <c r="F166" s="9" t="s">
        <v>5</v>
      </c>
      <c r="G166" s="10">
        <v>944</v>
      </c>
    </row>
    <row r="167" spans="1:7" x14ac:dyDescent="0.35">
      <c r="A167" s="8" t="s">
        <v>844</v>
      </c>
      <c r="B167" s="9" t="s">
        <v>845</v>
      </c>
      <c r="C167" s="4">
        <v>42710</v>
      </c>
      <c r="D167" s="4">
        <v>42775</v>
      </c>
      <c r="E167" t="s">
        <v>846</v>
      </c>
      <c r="F167" s="9" t="s">
        <v>5</v>
      </c>
      <c r="G167" s="10">
        <v>14277</v>
      </c>
    </row>
    <row r="168" spans="1:7" x14ac:dyDescent="0.35">
      <c r="A168" s="8" t="s">
        <v>840</v>
      </c>
      <c r="B168" s="9" t="s">
        <v>841</v>
      </c>
      <c r="C168" s="4">
        <v>42710</v>
      </c>
      <c r="D168" s="4">
        <v>42776</v>
      </c>
      <c r="E168" t="s">
        <v>821</v>
      </c>
      <c r="F168" s="9" t="s">
        <v>5</v>
      </c>
      <c r="G168" s="10">
        <v>11142</v>
      </c>
    </row>
    <row r="169" spans="1:7" x14ac:dyDescent="0.35">
      <c r="A169" s="8" t="s">
        <v>828</v>
      </c>
      <c r="B169" s="9" t="s">
        <v>829</v>
      </c>
      <c r="C169" s="4">
        <v>42710</v>
      </c>
      <c r="D169" s="4">
        <v>42793</v>
      </c>
      <c r="E169" t="s">
        <v>810</v>
      </c>
      <c r="F169" s="9" t="s">
        <v>5</v>
      </c>
      <c r="G169" s="10">
        <v>8379</v>
      </c>
    </row>
    <row r="170" spans="1:7" x14ac:dyDescent="0.35">
      <c r="A170" s="8" t="s">
        <v>832</v>
      </c>
      <c r="B170" s="9" t="s">
        <v>833</v>
      </c>
      <c r="C170" s="4">
        <v>42710</v>
      </c>
      <c r="D170" s="4">
        <v>42775</v>
      </c>
      <c r="E170" t="s">
        <v>799</v>
      </c>
      <c r="F170" s="9" t="s">
        <v>5</v>
      </c>
      <c r="G170" s="10">
        <v>9241</v>
      </c>
    </row>
    <row r="171" spans="1:7" x14ac:dyDescent="0.35">
      <c r="A171" s="8" t="s">
        <v>824</v>
      </c>
      <c r="B171" s="9" t="s">
        <v>825</v>
      </c>
      <c r="C171" s="4">
        <v>42710</v>
      </c>
      <c r="D171" s="4">
        <v>42793</v>
      </c>
      <c r="E171" t="s">
        <v>818</v>
      </c>
      <c r="F171" s="9" t="s">
        <v>5</v>
      </c>
      <c r="G171" s="10">
        <v>708</v>
      </c>
    </row>
    <row r="172" spans="1:7" x14ac:dyDescent="0.35">
      <c r="A172" s="8" t="s">
        <v>772</v>
      </c>
      <c r="B172" s="9" t="s">
        <v>773</v>
      </c>
      <c r="C172" s="4">
        <v>42710</v>
      </c>
      <c r="D172" s="4">
        <v>42767</v>
      </c>
      <c r="E172" t="s">
        <v>774</v>
      </c>
      <c r="F172" s="9" t="s">
        <v>5</v>
      </c>
      <c r="G172" s="10">
        <v>10077</v>
      </c>
    </row>
    <row r="173" spans="1:7" x14ac:dyDescent="0.35">
      <c r="A173" s="8" t="s">
        <v>838</v>
      </c>
      <c r="B173" s="9" t="s">
        <v>839</v>
      </c>
      <c r="C173" s="4">
        <v>42710</v>
      </c>
      <c r="D173" s="4">
        <v>42762</v>
      </c>
      <c r="E173" t="s">
        <v>796</v>
      </c>
      <c r="F173" s="9" t="s">
        <v>5</v>
      </c>
      <c r="G173" s="10">
        <v>3782</v>
      </c>
    </row>
    <row r="174" spans="1:7" x14ac:dyDescent="0.35">
      <c r="A174" s="8" t="s">
        <v>1099</v>
      </c>
      <c r="B174" s="9" t="s">
        <v>2569</v>
      </c>
      <c r="C174" s="4">
        <v>42711</v>
      </c>
      <c r="D174" s="4"/>
      <c r="E174" t="s">
        <v>203</v>
      </c>
      <c r="F174" s="9" t="s">
        <v>5</v>
      </c>
      <c r="G174" s="10">
        <v>93684.76</v>
      </c>
    </row>
    <row r="175" spans="1:7" x14ac:dyDescent="0.35">
      <c r="A175" s="8" t="s">
        <v>1100</v>
      </c>
      <c r="B175" s="9" t="s">
        <v>2569</v>
      </c>
      <c r="C175" s="4">
        <v>42711</v>
      </c>
      <c r="D175" s="4"/>
      <c r="E175" t="s">
        <v>203</v>
      </c>
      <c r="F175" s="9" t="s">
        <v>5</v>
      </c>
      <c r="G175" s="10">
        <v>109407.03</v>
      </c>
    </row>
    <row r="176" spans="1:7" x14ac:dyDescent="0.35">
      <c r="A176" s="8" t="s">
        <v>182</v>
      </c>
      <c r="B176" s="9" t="s">
        <v>183</v>
      </c>
      <c r="C176" s="4">
        <v>42712</v>
      </c>
      <c r="D176" s="4">
        <v>43034</v>
      </c>
      <c r="E176" t="s">
        <v>184</v>
      </c>
      <c r="F176" s="11" t="s">
        <v>4</v>
      </c>
      <c r="G176" s="10">
        <v>408790.85</v>
      </c>
    </row>
    <row r="177" spans="1:7" x14ac:dyDescent="0.35">
      <c r="A177" s="8" t="s">
        <v>188</v>
      </c>
      <c r="B177" s="9" t="s">
        <v>2569</v>
      </c>
      <c r="C177" s="4">
        <v>42712</v>
      </c>
      <c r="D177" s="4"/>
      <c r="E177" t="s">
        <v>159</v>
      </c>
      <c r="F177" s="11" t="s">
        <v>4</v>
      </c>
      <c r="G177" s="10">
        <v>973764</v>
      </c>
    </row>
    <row r="178" spans="1:7" x14ac:dyDescent="0.35">
      <c r="A178" s="8" t="s">
        <v>185</v>
      </c>
      <c r="B178" s="9" t="s">
        <v>186</v>
      </c>
      <c r="C178" s="4">
        <v>42712</v>
      </c>
      <c r="D178" s="4">
        <v>43416</v>
      </c>
      <c r="E178" t="s">
        <v>187</v>
      </c>
      <c r="F178" s="11" t="s">
        <v>4</v>
      </c>
      <c r="G178" s="10">
        <v>400000</v>
      </c>
    </row>
    <row r="179" spans="1:7" x14ac:dyDescent="0.35">
      <c r="A179" s="8" t="s">
        <v>830</v>
      </c>
      <c r="B179" s="9" t="s">
        <v>831</v>
      </c>
      <c r="C179" s="4">
        <v>42716</v>
      </c>
      <c r="D179" s="4">
        <v>42779</v>
      </c>
      <c r="E179" t="s">
        <v>786</v>
      </c>
      <c r="F179" s="9" t="s">
        <v>5</v>
      </c>
      <c r="G179" s="10">
        <v>5015</v>
      </c>
    </row>
    <row r="180" spans="1:7" x14ac:dyDescent="0.35">
      <c r="A180" s="8" t="s">
        <v>842</v>
      </c>
      <c r="B180" s="9" t="s">
        <v>843</v>
      </c>
      <c r="C180" s="4">
        <v>42726</v>
      </c>
      <c r="D180" s="4">
        <v>42762</v>
      </c>
      <c r="E180" t="s">
        <v>802</v>
      </c>
      <c r="F180" s="9" t="s">
        <v>5</v>
      </c>
      <c r="G180" s="10">
        <v>10352</v>
      </c>
    </row>
    <row r="181" spans="1:7" x14ac:dyDescent="0.35">
      <c r="A181" s="8" t="s">
        <v>847</v>
      </c>
      <c r="B181" s="9" t="s">
        <v>848</v>
      </c>
      <c r="C181" s="4">
        <v>42727</v>
      </c>
      <c r="D181" s="4">
        <v>42783</v>
      </c>
      <c r="E181" t="s">
        <v>849</v>
      </c>
      <c r="F181" s="9" t="s">
        <v>5</v>
      </c>
      <c r="G181" s="10">
        <v>1608</v>
      </c>
    </row>
    <row r="182" spans="1:7" x14ac:dyDescent="0.35">
      <c r="A182" s="8" t="s">
        <v>1096</v>
      </c>
      <c r="B182" s="9" t="s">
        <v>1097</v>
      </c>
      <c r="C182" s="4">
        <v>42779</v>
      </c>
      <c r="D182" s="4">
        <v>43249</v>
      </c>
      <c r="E182" t="s">
        <v>1098</v>
      </c>
      <c r="F182" s="9" t="s">
        <v>5</v>
      </c>
      <c r="G182" s="10">
        <v>120000</v>
      </c>
    </row>
    <row r="183" spans="1:7" x14ac:dyDescent="0.35">
      <c r="A183" s="8" t="s">
        <v>1116</v>
      </c>
      <c r="B183" s="9" t="s">
        <v>1117</v>
      </c>
      <c r="C183" s="4">
        <v>42782</v>
      </c>
      <c r="D183" s="4">
        <v>43088</v>
      </c>
      <c r="E183" t="s">
        <v>1118</v>
      </c>
      <c r="F183" s="9" t="s">
        <v>5</v>
      </c>
      <c r="G183" s="10">
        <v>101750</v>
      </c>
    </row>
    <row r="184" spans="1:7" x14ac:dyDescent="0.35">
      <c r="A184" s="8" t="s">
        <v>1101</v>
      </c>
      <c r="B184" s="9" t="s">
        <v>2569</v>
      </c>
      <c r="C184" s="4">
        <v>42823</v>
      </c>
      <c r="D184" s="4"/>
      <c r="E184" t="s">
        <v>2432</v>
      </c>
      <c r="F184" s="9" t="s">
        <v>5</v>
      </c>
      <c r="G184" s="10">
        <v>16089.13</v>
      </c>
    </row>
    <row r="185" spans="1:7" x14ac:dyDescent="0.35">
      <c r="A185" s="8" t="s">
        <v>192</v>
      </c>
      <c r="B185" s="9" t="s">
        <v>193</v>
      </c>
      <c r="C185" s="4">
        <v>42824</v>
      </c>
      <c r="D185" s="4">
        <v>43756</v>
      </c>
      <c r="E185" t="s">
        <v>194</v>
      </c>
      <c r="F185" s="11" t="s">
        <v>4</v>
      </c>
      <c r="G185" s="10">
        <v>155960</v>
      </c>
    </row>
    <row r="186" spans="1:7" x14ac:dyDescent="0.35">
      <c r="A186" s="8" t="s">
        <v>189</v>
      </c>
      <c r="B186" s="9" t="s">
        <v>190</v>
      </c>
      <c r="C186" s="4">
        <v>42824</v>
      </c>
      <c r="D186" s="4">
        <v>42845</v>
      </c>
      <c r="E186" t="s">
        <v>191</v>
      </c>
      <c r="F186" s="11" t="s">
        <v>4</v>
      </c>
      <c r="G186" s="10">
        <v>22500</v>
      </c>
    </row>
    <row r="187" spans="1:7" x14ac:dyDescent="0.35">
      <c r="A187" s="8" t="s">
        <v>1121</v>
      </c>
      <c r="B187" s="9" t="s">
        <v>1122</v>
      </c>
      <c r="C187" s="4">
        <v>42828</v>
      </c>
      <c r="D187" s="4">
        <v>43881</v>
      </c>
      <c r="E187" t="s">
        <v>1123</v>
      </c>
      <c r="F187" s="9" t="s">
        <v>5</v>
      </c>
      <c r="G187" s="10">
        <v>90000</v>
      </c>
    </row>
    <row r="188" spans="1:7" x14ac:dyDescent="0.35">
      <c r="A188" s="8" t="s">
        <v>201</v>
      </c>
      <c r="B188" s="9" t="s">
        <v>202</v>
      </c>
      <c r="C188" s="4">
        <v>42860</v>
      </c>
      <c r="D188" s="4">
        <v>44036</v>
      </c>
      <c r="E188" t="s">
        <v>203</v>
      </c>
      <c r="F188" s="11" t="s">
        <v>4</v>
      </c>
      <c r="G188" s="10">
        <v>572000</v>
      </c>
    </row>
    <row r="189" spans="1:7" x14ac:dyDescent="0.35">
      <c r="A189" s="8" t="s">
        <v>204</v>
      </c>
      <c r="B189" s="9" t="s">
        <v>205</v>
      </c>
      <c r="C189" s="4">
        <v>42860</v>
      </c>
      <c r="D189" s="4">
        <v>44036</v>
      </c>
      <c r="E189" t="s">
        <v>203</v>
      </c>
      <c r="F189" s="11" t="s">
        <v>4</v>
      </c>
      <c r="G189" s="10">
        <v>500000</v>
      </c>
    </row>
    <row r="190" spans="1:7" x14ac:dyDescent="0.35">
      <c r="A190" s="8" t="s">
        <v>195</v>
      </c>
      <c r="B190" s="9" t="s">
        <v>196</v>
      </c>
      <c r="C190" s="4">
        <v>42860</v>
      </c>
      <c r="D190" s="4">
        <v>43382</v>
      </c>
      <c r="E190" t="s">
        <v>197</v>
      </c>
      <c r="F190" s="11" t="s">
        <v>4</v>
      </c>
      <c r="G190" s="10">
        <v>55000</v>
      </c>
    </row>
    <row r="191" spans="1:7" x14ac:dyDescent="0.35">
      <c r="A191" s="8" t="s">
        <v>215</v>
      </c>
      <c r="B191" s="9" t="s">
        <v>216</v>
      </c>
      <c r="C191" s="4">
        <v>42860</v>
      </c>
      <c r="D191" s="4">
        <v>43129</v>
      </c>
      <c r="E191" t="s">
        <v>208</v>
      </c>
      <c r="F191" s="11" t="s">
        <v>4</v>
      </c>
      <c r="G191" s="10">
        <v>100000</v>
      </c>
    </row>
    <row r="192" spans="1:7" x14ac:dyDescent="0.35">
      <c r="A192" s="8" t="s">
        <v>217</v>
      </c>
      <c r="B192" s="9" t="s">
        <v>218</v>
      </c>
      <c r="C192" s="4">
        <v>42860</v>
      </c>
      <c r="D192" s="4">
        <v>43129</v>
      </c>
      <c r="E192" t="s">
        <v>208</v>
      </c>
      <c r="F192" s="11" t="s">
        <v>4</v>
      </c>
      <c r="G192" s="10">
        <v>50000</v>
      </c>
    </row>
    <row r="193" spans="1:7" x14ac:dyDescent="0.35">
      <c r="A193" s="8" t="s">
        <v>206</v>
      </c>
      <c r="B193" s="9" t="s">
        <v>207</v>
      </c>
      <c r="C193" s="4">
        <v>42860</v>
      </c>
      <c r="D193" s="4">
        <v>43376</v>
      </c>
      <c r="E193" t="s">
        <v>208</v>
      </c>
      <c r="F193" s="11" t="s">
        <v>4</v>
      </c>
      <c r="G193" s="10">
        <v>1000000</v>
      </c>
    </row>
    <row r="194" spans="1:7" x14ac:dyDescent="0.35">
      <c r="A194" s="8" t="s">
        <v>212</v>
      </c>
      <c r="B194" s="9" t="s">
        <v>213</v>
      </c>
      <c r="C194" s="4">
        <v>42860</v>
      </c>
      <c r="D194" s="4">
        <v>43129</v>
      </c>
      <c r="E194" t="s">
        <v>214</v>
      </c>
      <c r="F194" s="11" t="s">
        <v>4</v>
      </c>
      <c r="G194" s="10">
        <v>30000</v>
      </c>
    </row>
    <row r="195" spans="1:7" x14ac:dyDescent="0.35">
      <c r="A195" s="8" t="s">
        <v>219</v>
      </c>
      <c r="B195" s="9" t="s">
        <v>220</v>
      </c>
      <c r="C195" s="4">
        <v>42860</v>
      </c>
      <c r="D195" s="4">
        <v>43129</v>
      </c>
      <c r="E195" t="s">
        <v>214</v>
      </c>
      <c r="F195" s="11" t="s">
        <v>4</v>
      </c>
      <c r="G195" s="10">
        <v>120000</v>
      </c>
    </row>
    <row r="196" spans="1:7" x14ac:dyDescent="0.35">
      <c r="A196" s="8" t="s">
        <v>198</v>
      </c>
      <c r="B196" s="9" t="s">
        <v>199</v>
      </c>
      <c r="C196" s="4">
        <v>42860</v>
      </c>
      <c r="D196" s="4">
        <v>42894</v>
      </c>
      <c r="E196" t="s">
        <v>200</v>
      </c>
      <c r="F196" s="11" t="s">
        <v>4</v>
      </c>
      <c r="G196" s="10">
        <v>19500</v>
      </c>
    </row>
    <row r="197" spans="1:7" x14ac:dyDescent="0.35">
      <c r="A197" s="8" t="s">
        <v>1119</v>
      </c>
      <c r="B197" s="9" t="s">
        <v>1120</v>
      </c>
      <c r="C197" s="4">
        <v>42870</v>
      </c>
      <c r="D197" s="4">
        <v>43088</v>
      </c>
      <c r="E197" t="s">
        <v>1118</v>
      </c>
      <c r="F197" s="9" t="s">
        <v>5</v>
      </c>
      <c r="G197" s="10">
        <v>22400</v>
      </c>
    </row>
    <row r="198" spans="1:7" x14ac:dyDescent="0.35">
      <c r="A198" s="8" t="s">
        <v>1102</v>
      </c>
      <c r="B198" s="9" t="s">
        <v>2569</v>
      </c>
      <c r="C198" s="4">
        <v>42871</v>
      </c>
      <c r="D198" s="4"/>
      <c r="E198" t="s">
        <v>1103</v>
      </c>
      <c r="F198" s="9" t="s">
        <v>5</v>
      </c>
      <c r="G198" s="10">
        <v>13500</v>
      </c>
    </row>
    <row r="199" spans="1:7" x14ac:dyDescent="0.35">
      <c r="A199" s="8" t="s">
        <v>1109</v>
      </c>
      <c r="B199" s="9" t="s">
        <v>1110</v>
      </c>
      <c r="C199" s="4">
        <v>42887</v>
      </c>
      <c r="D199" s="4">
        <v>43517</v>
      </c>
      <c r="E199" t="s">
        <v>1111</v>
      </c>
      <c r="F199" s="9" t="s">
        <v>5</v>
      </c>
      <c r="G199" s="10">
        <v>66491.759999999995</v>
      </c>
    </row>
    <row r="200" spans="1:7" x14ac:dyDescent="0.35">
      <c r="A200" s="8" t="s">
        <v>1112</v>
      </c>
      <c r="B200" s="9" t="s">
        <v>1113</v>
      </c>
      <c r="C200" s="4">
        <v>42887</v>
      </c>
      <c r="D200" s="4">
        <v>43522</v>
      </c>
      <c r="E200" t="s">
        <v>1111</v>
      </c>
      <c r="F200" s="9" t="s">
        <v>5</v>
      </c>
      <c r="G200" s="10">
        <v>66971.490000000005</v>
      </c>
    </row>
    <row r="201" spans="1:7" x14ac:dyDescent="0.35">
      <c r="A201" s="8" t="s">
        <v>1104</v>
      </c>
      <c r="B201" s="9" t="s">
        <v>1105</v>
      </c>
      <c r="C201" s="4">
        <v>42892</v>
      </c>
      <c r="D201" s="4">
        <v>42929</v>
      </c>
      <c r="E201" t="s">
        <v>1106</v>
      </c>
      <c r="F201" s="9" t="s">
        <v>5</v>
      </c>
      <c r="G201" s="10">
        <v>82000</v>
      </c>
    </row>
    <row r="202" spans="1:7" x14ac:dyDescent="0.35">
      <c r="A202" s="8" t="s">
        <v>1107</v>
      </c>
      <c r="B202" s="9" t="s">
        <v>1108</v>
      </c>
      <c r="C202" s="4">
        <v>42894</v>
      </c>
      <c r="D202" s="4">
        <v>43034</v>
      </c>
      <c r="E202" t="s">
        <v>1069</v>
      </c>
      <c r="F202" s="9" t="s">
        <v>5</v>
      </c>
      <c r="G202" s="10">
        <v>145256.87</v>
      </c>
    </row>
    <row r="203" spans="1:7" x14ac:dyDescent="0.35">
      <c r="A203" s="8" t="s">
        <v>1114</v>
      </c>
      <c r="B203" s="9" t="s">
        <v>1115</v>
      </c>
      <c r="C203" s="4">
        <v>42909</v>
      </c>
      <c r="D203" s="4">
        <v>43077</v>
      </c>
      <c r="E203" t="s">
        <v>786</v>
      </c>
      <c r="F203" s="9" t="s">
        <v>5</v>
      </c>
      <c r="G203" s="10">
        <v>34900</v>
      </c>
    </row>
    <row r="204" spans="1:7" x14ac:dyDescent="0.35">
      <c r="A204" s="8" t="s">
        <v>852</v>
      </c>
      <c r="B204" s="9" t="s">
        <v>853</v>
      </c>
      <c r="C204" s="4">
        <v>42912</v>
      </c>
      <c r="D204" s="4">
        <v>42901</v>
      </c>
      <c r="E204" t="s">
        <v>854</v>
      </c>
      <c r="F204" s="9" t="s">
        <v>5</v>
      </c>
      <c r="G204" s="10">
        <v>50000</v>
      </c>
    </row>
    <row r="205" spans="1:7" x14ac:dyDescent="0.35">
      <c r="A205" s="8" t="s">
        <v>1268</v>
      </c>
      <c r="B205" s="9" t="s">
        <v>1273</v>
      </c>
      <c r="C205" s="4">
        <v>42915</v>
      </c>
      <c r="D205" s="4">
        <v>43356</v>
      </c>
      <c r="E205" t="s">
        <v>1274</v>
      </c>
      <c r="F205" s="9" t="s">
        <v>5</v>
      </c>
      <c r="G205" s="10">
        <v>36000</v>
      </c>
    </row>
    <row r="206" spans="1:7" x14ac:dyDescent="0.35">
      <c r="A206" s="8" t="s">
        <v>1298</v>
      </c>
      <c r="B206" s="9" t="s">
        <v>1302</v>
      </c>
      <c r="C206" s="4">
        <v>42915</v>
      </c>
      <c r="D206" s="4">
        <v>43356</v>
      </c>
      <c r="E206" t="s">
        <v>1303</v>
      </c>
      <c r="F206" s="9" t="s">
        <v>5</v>
      </c>
      <c r="G206" s="10">
        <v>28000</v>
      </c>
    </row>
    <row r="207" spans="1:7" x14ac:dyDescent="0.35">
      <c r="A207" s="8" t="s">
        <v>1219</v>
      </c>
      <c r="B207" s="9" t="s">
        <v>1234</v>
      </c>
      <c r="C207" s="4">
        <v>42915</v>
      </c>
      <c r="D207" s="4">
        <v>43034</v>
      </c>
      <c r="E207" t="s">
        <v>1235</v>
      </c>
      <c r="F207" s="9" t="s">
        <v>5</v>
      </c>
      <c r="G207" s="10">
        <v>1000</v>
      </c>
    </row>
    <row r="208" spans="1:7" x14ac:dyDescent="0.35">
      <c r="A208" s="8" t="s">
        <v>1142</v>
      </c>
      <c r="B208" s="9" t="s">
        <v>1164</v>
      </c>
      <c r="C208" s="4">
        <v>42915</v>
      </c>
      <c r="D208" s="4">
        <v>43039</v>
      </c>
      <c r="E208" t="s">
        <v>930</v>
      </c>
      <c r="F208" s="9" t="s">
        <v>5</v>
      </c>
      <c r="G208" s="10">
        <v>1080</v>
      </c>
    </row>
    <row r="209" spans="1:7" x14ac:dyDescent="0.35">
      <c r="A209" s="8" t="s">
        <v>1142</v>
      </c>
      <c r="B209" s="9" t="s">
        <v>1190</v>
      </c>
      <c r="C209" s="4">
        <v>42915</v>
      </c>
      <c r="D209" s="4">
        <v>43167</v>
      </c>
      <c r="E209" t="s">
        <v>138</v>
      </c>
      <c r="F209" s="9" t="s">
        <v>5</v>
      </c>
      <c r="G209" s="10">
        <v>1260</v>
      </c>
    </row>
    <row r="210" spans="1:7" x14ac:dyDescent="0.35">
      <c r="A210" s="8" t="s">
        <v>1219</v>
      </c>
      <c r="B210" s="9" t="s">
        <v>1238</v>
      </c>
      <c r="C210" s="4">
        <v>42915</v>
      </c>
      <c r="D210" s="4">
        <v>43140</v>
      </c>
      <c r="E210" t="s">
        <v>1239</v>
      </c>
      <c r="F210" s="9" t="s">
        <v>5</v>
      </c>
      <c r="G210" s="10">
        <v>1000</v>
      </c>
    </row>
    <row r="211" spans="1:7" x14ac:dyDescent="0.35">
      <c r="A211" s="8" t="s">
        <v>209</v>
      </c>
      <c r="B211" s="9" t="s">
        <v>210</v>
      </c>
      <c r="C211" s="4">
        <v>42915</v>
      </c>
      <c r="D211" s="4">
        <v>42954</v>
      </c>
      <c r="E211" t="s">
        <v>211</v>
      </c>
      <c r="F211" s="11" t="s">
        <v>4</v>
      </c>
      <c r="G211" s="10">
        <v>34125</v>
      </c>
    </row>
    <row r="212" spans="1:7" x14ac:dyDescent="0.35">
      <c r="A212" s="8" t="s">
        <v>1219</v>
      </c>
      <c r="B212" s="9" t="s">
        <v>1240</v>
      </c>
      <c r="C212" s="4">
        <v>42915</v>
      </c>
      <c r="D212" s="4">
        <v>43153</v>
      </c>
      <c r="E212" t="s">
        <v>1241</v>
      </c>
      <c r="F212" s="9" t="s">
        <v>5</v>
      </c>
      <c r="G212" s="10">
        <v>1000</v>
      </c>
    </row>
    <row r="213" spans="1:7" x14ac:dyDescent="0.35">
      <c r="A213" s="8" t="s">
        <v>1268</v>
      </c>
      <c r="B213" s="9" t="s">
        <v>1271</v>
      </c>
      <c r="C213" s="4">
        <v>42915</v>
      </c>
      <c r="D213" s="4">
        <v>43241</v>
      </c>
      <c r="E213" t="s">
        <v>1272</v>
      </c>
      <c r="F213" s="9" t="s">
        <v>5</v>
      </c>
      <c r="G213" s="10">
        <v>33000</v>
      </c>
    </row>
    <row r="214" spans="1:7" x14ac:dyDescent="0.35">
      <c r="A214" s="8" t="s">
        <v>1268</v>
      </c>
      <c r="B214" s="9" t="s">
        <v>1275</v>
      </c>
      <c r="C214" s="4">
        <v>42915</v>
      </c>
      <c r="D214" s="4">
        <v>43349</v>
      </c>
      <c r="E214" t="s">
        <v>1276</v>
      </c>
      <c r="F214" s="9" t="s">
        <v>5</v>
      </c>
      <c r="G214" s="10">
        <v>45250</v>
      </c>
    </row>
    <row r="215" spans="1:7" x14ac:dyDescent="0.35">
      <c r="A215" s="8" t="s">
        <v>1142</v>
      </c>
      <c r="B215" s="9" t="s">
        <v>1143</v>
      </c>
      <c r="C215" s="4">
        <v>42915</v>
      </c>
      <c r="D215" s="4">
        <v>43041</v>
      </c>
      <c r="E215" t="s">
        <v>37</v>
      </c>
      <c r="F215" s="9" t="s">
        <v>5</v>
      </c>
      <c r="G215" s="10">
        <v>0</v>
      </c>
    </row>
    <row r="216" spans="1:7" x14ac:dyDescent="0.35">
      <c r="A216" s="8" t="s">
        <v>1268</v>
      </c>
      <c r="B216" s="9" t="s">
        <v>1286</v>
      </c>
      <c r="C216" s="4">
        <v>42915</v>
      </c>
      <c r="D216" s="4">
        <v>43306</v>
      </c>
      <c r="E216" t="s">
        <v>1287</v>
      </c>
      <c r="F216" s="9" t="s">
        <v>5</v>
      </c>
      <c r="G216" s="10">
        <v>50000</v>
      </c>
    </row>
    <row r="217" spans="1:7" x14ac:dyDescent="0.35">
      <c r="A217" s="8" t="s">
        <v>1298</v>
      </c>
      <c r="B217" s="9" t="s">
        <v>1301</v>
      </c>
      <c r="C217" s="4">
        <v>42915</v>
      </c>
      <c r="D217" s="4">
        <v>43306</v>
      </c>
      <c r="E217" t="s">
        <v>1287</v>
      </c>
      <c r="F217" s="9" t="s">
        <v>5</v>
      </c>
      <c r="G217" s="10">
        <v>7000</v>
      </c>
    </row>
    <row r="218" spans="1:7" x14ac:dyDescent="0.35">
      <c r="A218" s="8" t="s">
        <v>1142</v>
      </c>
      <c r="B218" s="9" t="s">
        <v>1159</v>
      </c>
      <c r="C218" s="4">
        <v>42915</v>
      </c>
      <c r="D218" s="4">
        <v>43166</v>
      </c>
      <c r="E218" t="s">
        <v>1160</v>
      </c>
      <c r="F218" s="9" t="s">
        <v>5</v>
      </c>
      <c r="G218" s="10">
        <v>990</v>
      </c>
    </row>
    <row r="219" spans="1:7" x14ac:dyDescent="0.35">
      <c r="A219" s="8" t="s">
        <v>1142</v>
      </c>
      <c r="B219" s="9" t="s">
        <v>1187</v>
      </c>
      <c r="C219" s="4">
        <v>42915</v>
      </c>
      <c r="D219" s="4">
        <v>43042</v>
      </c>
      <c r="E219" t="s">
        <v>31</v>
      </c>
      <c r="F219" s="9" t="s">
        <v>5</v>
      </c>
      <c r="G219" s="10">
        <v>1260</v>
      </c>
    </row>
    <row r="220" spans="1:7" x14ac:dyDescent="0.35">
      <c r="A220" s="8" t="s">
        <v>1142</v>
      </c>
      <c r="B220" s="9" t="s">
        <v>1193</v>
      </c>
      <c r="C220" s="4">
        <v>42915</v>
      </c>
      <c r="D220" s="4">
        <v>43167</v>
      </c>
      <c r="E220" t="s">
        <v>31</v>
      </c>
      <c r="F220" s="9" t="s">
        <v>5</v>
      </c>
      <c r="G220" s="10">
        <v>1260</v>
      </c>
    </row>
    <row r="221" spans="1:7" x14ac:dyDescent="0.35">
      <c r="A221" s="8" t="s">
        <v>1142</v>
      </c>
      <c r="B221" s="9" t="s">
        <v>1217</v>
      </c>
      <c r="C221" s="4">
        <v>42915</v>
      </c>
      <c r="D221" s="4">
        <v>43270</v>
      </c>
      <c r="E221" t="s">
        <v>982</v>
      </c>
      <c r="F221" s="9" t="s">
        <v>5</v>
      </c>
      <c r="G221" s="10">
        <v>8025</v>
      </c>
    </row>
    <row r="222" spans="1:7" x14ac:dyDescent="0.35">
      <c r="A222" s="8" t="s">
        <v>1142</v>
      </c>
      <c r="B222" s="9" t="s">
        <v>1206</v>
      </c>
      <c r="C222" s="4">
        <v>42915</v>
      </c>
      <c r="D222" s="4">
        <v>43077</v>
      </c>
      <c r="E222" t="s">
        <v>68</v>
      </c>
      <c r="F222" s="9" t="s">
        <v>5</v>
      </c>
      <c r="G222" s="10">
        <v>2075</v>
      </c>
    </row>
    <row r="223" spans="1:7" x14ac:dyDescent="0.35">
      <c r="A223" s="8" t="s">
        <v>1142</v>
      </c>
      <c r="B223" s="9" t="s">
        <v>1210</v>
      </c>
      <c r="C223" s="4">
        <v>42915</v>
      </c>
      <c r="D223" s="4">
        <v>43437</v>
      </c>
      <c r="E223" t="s">
        <v>68</v>
      </c>
      <c r="F223" s="9" t="s">
        <v>5</v>
      </c>
      <c r="G223" s="10">
        <v>2645</v>
      </c>
    </row>
    <row r="224" spans="1:7" x14ac:dyDescent="0.35">
      <c r="A224" s="8" t="s">
        <v>1142</v>
      </c>
      <c r="B224" s="9" t="s">
        <v>1214</v>
      </c>
      <c r="C224" s="4">
        <v>42915</v>
      </c>
      <c r="D224" s="4">
        <v>43083</v>
      </c>
      <c r="E224" t="s">
        <v>61</v>
      </c>
      <c r="F224" s="9" t="s">
        <v>5</v>
      </c>
      <c r="G224" s="10">
        <v>3650</v>
      </c>
    </row>
    <row r="225" spans="1:7" x14ac:dyDescent="0.35">
      <c r="A225" s="8" t="s">
        <v>1142</v>
      </c>
      <c r="B225" s="9" t="s">
        <v>1218</v>
      </c>
      <c r="C225" s="4">
        <v>42915</v>
      </c>
      <c r="D225" s="4">
        <v>43270</v>
      </c>
      <c r="E225" t="s">
        <v>980</v>
      </c>
      <c r="F225" s="9" t="s">
        <v>5</v>
      </c>
      <c r="G225" s="10">
        <v>8060</v>
      </c>
    </row>
    <row r="226" spans="1:7" x14ac:dyDescent="0.35">
      <c r="A226" s="8" t="s">
        <v>1142</v>
      </c>
      <c r="B226" s="9" t="s">
        <v>1196</v>
      </c>
      <c r="C226" s="4">
        <v>42915</v>
      </c>
      <c r="D226" s="4">
        <v>43076</v>
      </c>
      <c r="E226" t="s">
        <v>1153</v>
      </c>
      <c r="F226" s="9" t="s">
        <v>5</v>
      </c>
      <c r="G226" s="10">
        <v>1479.5</v>
      </c>
    </row>
    <row r="227" spans="1:7" x14ac:dyDescent="0.35">
      <c r="A227" s="8" t="s">
        <v>1142</v>
      </c>
      <c r="B227" s="9" t="s">
        <v>1152</v>
      </c>
      <c r="C227" s="4">
        <v>42915</v>
      </c>
      <c r="D227" s="4">
        <v>43137</v>
      </c>
      <c r="E227" t="s">
        <v>1153</v>
      </c>
      <c r="F227" s="9" t="s">
        <v>5</v>
      </c>
      <c r="G227" s="10">
        <v>660</v>
      </c>
    </row>
    <row r="228" spans="1:7" x14ac:dyDescent="0.35">
      <c r="A228" s="8" t="s">
        <v>1142</v>
      </c>
      <c r="B228" s="9" t="s">
        <v>1158</v>
      </c>
      <c r="C228" s="4">
        <v>42915</v>
      </c>
      <c r="D228" s="4">
        <v>43180</v>
      </c>
      <c r="E228" t="s">
        <v>1153</v>
      </c>
      <c r="F228" s="9" t="s">
        <v>5</v>
      </c>
      <c r="G228" s="10">
        <v>870</v>
      </c>
    </row>
    <row r="229" spans="1:7" x14ac:dyDescent="0.35">
      <c r="A229" s="8" t="s">
        <v>267</v>
      </c>
      <c r="B229" s="9" t="s">
        <v>2569</v>
      </c>
      <c r="C229" s="4">
        <v>42915</v>
      </c>
      <c r="D229" s="4"/>
      <c r="E229" t="s">
        <v>171</v>
      </c>
      <c r="F229" s="11" t="s">
        <v>4</v>
      </c>
      <c r="G229" s="10">
        <v>1000000</v>
      </c>
    </row>
    <row r="230" spans="1:7" x14ac:dyDescent="0.35">
      <c r="A230" s="8" t="s">
        <v>1142</v>
      </c>
      <c r="B230" s="9" t="s">
        <v>1213</v>
      </c>
      <c r="C230" s="4">
        <v>42915</v>
      </c>
      <c r="D230" s="4">
        <v>43077</v>
      </c>
      <c r="E230" t="s">
        <v>970</v>
      </c>
      <c r="F230" s="9" t="s">
        <v>5</v>
      </c>
      <c r="G230" s="10">
        <v>3467.62</v>
      </c>
    </row>
    <row r="231" spans="1:7" x14ac:dyDescent="0.35">
      <c r="A231" s="8" t="s">
        <v>1142</v>
      </c>
      <c r="B231" s="9" t="s">
        <v>1207</v>
      </c>
      <c r="C231" s="4">
        <v>42915</v>
      </c>
      <c r="D231" s="4">
        <v>43278</v>
      </c>
      <c r="E231" t="s">
        <v>970</v>
      </c>
      <c r="F231" s="9" t="s">
        <v>5</v>
      </c>
      <c r="G231" s="10">
        <v>2095</v>
      </c>
    </row>
    <row r="232" spans="1:7" x14ac:dyDescent="0.35">
      <c r="A232" s="8" t="s">
        <v>1268</v>
      </c>
      <c r="B232" s="9" t="s">
        <v>1292</v>
      </c>
      <c r="C232" s="4">
        <v>42915</v>
      </c>
      <c r="D232" s="4">
        <v>43355</v>
      </c>
      <c r="E232" t="s">
        <v>1293</v>
      </c>
      <c r="F232" s="9" t="s">
        <v>5</v>
      </c>
      <c r="G232" s="10">
        <v>50000</v>
      </c>
    </row>
    <row r="233" spans="1:7" x14ac:dyDescent="0.35">
      <c r="A233" s="8" t="s">
        <v>1142</v>
      </c>
      <c r="B233" s="9" t="s">
        <v>1165</v>
      </c>
      <c r="C233" s="4">
        <v>42915</v>
      </c>
      <c r="D233" s="4">
        <v>43041</v>
      </c>
      <c r="E233" t="s">
        <v>106</v>
      </c>
      <c r="F233" s="9" t="s">
        <v>5</v>
      </c>
      <c r="G233" s="10">
        <v>1080</v>
      </c>
    </row>
    <row r="234" spans="1:7" x14ac:dyDescent="0.35">
      <c r="A234" s="8" t="s">
        <v>1219</v>
      </c>
      <c r="B234" s="9" t="s">
        <v>1225</v>
      </c>
      <c r="C234" s="4">
        <v>42915</v>
      </c>
      <c r="D234" s="4">
        <v>43266</v>
      </c>
      <c r="E234" t="s">
        <v>1226</v>
      </c>
      <c r="F234" s="9" t="s">
        <v>5</v>
      </c>
      <c r="G234" s="10">
        <v>919.05</v>
      </c>
    </row>
    <row r="235" spans="1:7" x14ac:dyDescent="0.35">
      <c r="A235" s="8" t="s">
        <v>1298</v>
      </c>
      <c r="B235" s="9" t="s">
        <v>1299</v>
      </c>
      <c r="C235" s="4">
        <v>42915</v>
      </c>
      <c r="D235" s="4">
        <v>43392</v>
      </c>
      <c r="E235" t="s">
        <v>1300</v>
      </c>
      <c r="F235" s="9" t="s">
        <v>5</v>
      </c>
      <c r="G235" s="10">
        <v>3500</v>
      </c>
    </row>
    <row r="236" spans="1:7" x14ac:dyDescent="0.35">
      <c r="A236" s="8" t="s">
        <v>1268</v>
      </c>
      <c r="B236" s="9" t="s">
        <v>1284</v>
      </c>
      <c r="C236" s="4">
        <v>42915</v>
      </c>
      <c r="D236" s="4">
        <v>43280</v>
      </c>
      <c r="E236" t="s">
        <v>1285</v>
      </c>
      <c r="F236" s="9" t="s">
        <v>5</v>
      </c>
      <c r="G236" s="10">
        <v>50000</v>
      </c>
    </row>
    <row r="237" spans="1:7" x14ac:dyDescent="0.35">
      <c r="A237" s="8" t="s">
        <v>1142</v>
      </c>
      <c r="B237" s="9" t="s">
        <v>1178</v>
      </c>
      <c r="C237" s="4">
        <v>42915</v>
      </c>
      <c r="D237" s="4">
        <v>43018</v>
      </c>
      <c r="E237" t="s">
        <v>1179</v>
      </c>
      <c r="F237" s="9" t="s">
        <v>5</v>
      </c>
      <c r="G237" s="10">
        <v>1192.6600000000001</v>
      </c>
    </row>
    <row r="238" spans="1:7" x14ac:dyDescent="0.35">
      <c r="A238" s="8" t="s">
        <v>1219</v>
      </c>
      <c r="B238" s="9" t="s">
        <v>1227</v>
      </c>
      <c r="C238" s="4">
        <v>42915</v>
      </c>
      <c r="D238" s="4">
        <v>43241</v>
      </c>
      <c r="E238" t="s">
        <v>1228</v>
      </c>
      <c r="F238" s="9" t="s">
        <v>5</v>
      </c>
      <c r="G238" s="10">
        <v>938.26</v>
      </c>
    </row>
    <row r="239" spans="1:7" x14ac:dyDescent="0.35">
      <c r="A239" s="8" t="s">
        <v>1249</v>
      </c>
      <c r="B239" s="9" t="s">
        <v>1254</v>
      </c>
      <c r="C239" s="4">
        <v>42915</v>
      </c>
      <c r="D239" s="4">
        <v>43280</v>
      </c>
      <c r="E239" t="s">
        <v>1255</v>
      </c>
      <c r="F239" s="9" t="s">
        <v>5</v>
      </c>
      <c r="G239" s="10">
        <v>2000</v>
      </c>
    </row>
    <row r="240" spans="1:7" x14ac:dyDescent="0.35">
      <c r="A240" s="8" t="s">
        <v>1219</v>
      </c>
      <c r="B240" s="9" t="s">
        <v>1223</v>
      </c>
      <c r="C240" s="4">
        <v>42915</v>
      </c>
      <c r="D240" s="4">
        <v>42979</v>
      </c>
      <c r="E240" t="s">
        <v>1224</v>
      </c>
      <c r="F240" s="9" t="s">
        <v>5</v>
      </c>
      <c r="G240" s="10">
        <v>895.2</v>
      </c>
    </row>
    <row r="241" spans="1:7" x14ac:dyDescent="0.35">
      <c r="A241" s="8" t="s">
        <v>1142</v>
      </c>
      <c r="B241" s="9" t="s">
        <v>1176</v>
      </c>
      <c r="C241" s="4">
        <v>42915</v>
      </c>
      <c r="D241" s="4">
        <v>43167</v>
      </c>
      <c r="E241" t="s">
        <v>1177</v>
      </c>
      <c r="F241" s="9" t="s">
        <v>5</v>
      </c>
      <c r="G241" s="10">
        <v>1180</v>
      </c>
    </row>
    <row r="242" spans="1:7" x14ac:dyDescent="0.35">
      <c r="A242" s="8" t="s">
        <v>1142</v>
      </c>
      <c r="B242" s="9" t="s">
        <v>1205</v>
      </c>
      <c r="C242" s="4">
        <v>42915</v>
      </c>
      <c r="D242" s="4">
        <v>43143</v>
      </c>
      <c r="E242" t="s">
        <v>904</v>
      </c>
      <c r="F242" s="9" t="s">
        <v>5</v>
      </c>
      <c r="G242" s="10">
        <v>1700</v>
      </c>
    </row>
    <row r="243" spans="1:7" x14ac:dyDescent="0.35">
      <c r="A243" s="8" t="s">
        <v>1142</v>
      </c>
      <c r="B243" s="9" t="s">
        <v>1204</v>
      </c>
      <c r="C243" s="4">
        <v>42915</v>
      </c>
      <c r="D243" s="4">
        <v>43202</v>
      </c>
      <c r="E243" t="s">
        <v>904</v>
      </c>
      <c r="F243" s="9" t="s">
        <v>5</v>
      </c>
      <c r="G243" s="10">
        <v>1685</v>
      </c>
    </row>
    <row r="244" spans="1:7" x14ac:dyDescent="0.35">
      <c r="A244" s="8" t="s">
        <v>1142</v>
      </c>
      <c r="B244" s="9" t="s">
        <v>1154</v>
      </c>
      <c r="C244" s="4">
        <v>42915</v>
      </c>
      <c r="D244" s="4">
        <v>43277</v>
      </c>
      <c r="E244" t="s">
        <v>904</v>
      </c>
      <c r="F244" s="9" t="s">
        <v>5</v>
      </c>
      <c r="G244" s="10">
        <v>675</v>
      </c>
    </row>
    <row r="245" spans="1:7" x14ac:dyDescent="0.35">
      <c r="A245" s="8" t="s">
        <v>1219</v>
      </c>
      <c r="B245" s="9" t="s">
        <v>1247</v>
      </c>
      <c r="C245" s="4">
        <v>42915</v>
      </c>
      <c r="D245" s="4">
        <v>43104</v>
      </c>
      <c r="E245" t="s">
        <v>1248</v>
      </c>
      <c r="F245" s="9" t="s">
        <v>5</v>
      </c>
      <c r="G245" s="10">
        <v>1455.16</v>
      </c>
    </row>
    <row r="246" spans="1:7" x14ac:dyDescent="0.35">
      <c r="A246" s="8" t="s">
        <v>1142</v>
      </c>
      <c r="B246" s="9" t="s">
        <v>1185</v>
      </c>
      <c r="C246" s="4">
        <v>42915</v>
      </c>
      <c r="D246" s="4">
        <v>43041</v>
      </c>
      <c r="E246" t="s">
        <v>1186</v>
      </c>
      <c r="F246" s="9" t="s">
        <v>5</v>
      </c>
      <c r="G246" s="10">
        <v>1260</v>
      </c>
    </row>
    <row r="247" spans="1:7" x14ac:dyDescent="0.35">
      <c r="A247" s="8" t="s">
        <v>1142</v>
      </c>
      <c r="B247" s="9" t="s">
        <v>1202</v>
      </c>
      <c r="C247" s="4">
        <v>42915</v>
      </c>
      <c r="D247" s="4">
        <v>43319</v>
      </c>
      <c r="E247" t="s">
        <v>1203</v>
      </c>
      <c r="F247" s="9" t="s">
        <v>5</v>
      </c>
      <c r="G247" s="10">
        <v>1677</v>
      </c>
    </row>
    <row r="248" spans="1:7" x14ac:dyDescent="0.35">
      <c r="A248" s="8" t="s">
        <v>1142</v>
      </c>
      <c r="B248" s="9" t="s">
        <v>1166</v>
      </c>
      <c r="C248" s="4">
        <v>42915</v>
      </c>
      <c r="D248" s="4">
        <v>43042</v>
      </c>
      <c r="E248" t="s">
        <v>1167</v>
      </c>
      <c r="F248" s="9" t="s">
        <v>5</v>
      </c>
      <c r="G248" s="10">
        <v>1080</v>
      </c>
    </row>
    <row r="249" spans="1:7" x14ac:dyDescent="0.35">
      <c r="A249" s="8" t="s">
        <v>1142</v>
      </c>
      <c r="B249" s="9" t="s">
        <v>1155</v>
      </c>
      <c r="C249" s="4">
        <v>42915</v>
      </c>
      <c r="D249" s="4">
        <v>43173</v>
      </c>
      <c r="E249" t="s">
        <v>1156</v>
      </c>
      <c r="F249" s="9" t="s">
        <v>5</v>
      </c>
      <c r="G249" s="10">
        <v>700</v>
      </c>
    </row>
    <row r="250" spans="1:7" x14ac:dyDescent="0.35">
      <c r="A250" s="8" t="s">
        <v>1268</v>
      </c>
      <c r="B250" s="9" t="s">
        <v>1280</v>
      </c>
      <c r="C250" s="4">
        <v>42915</v>
      </c>
      <c r="D250" s="4">
        <v>43263</v>
      </c>
      <c r="E250" t="s">
        <v>1281</v>
      </c>
      <c r="F250" s="9" t="s">
        <v>5</v>
      </c>
      <c r="G250" s="10">
        <v>50000</v>
      </c>
    </row>
    <row r="251" spans="1:7" x14ac:dyDescent="0.35">
      <c r="A251" s="8" t="s">
        <v>1258</v>
      </c>
      <c r="B251" s="9" t="s">
        <v>1266</v>
      </c>
      <c r="C251" s="4">
        <v>42915</v>
      </c>
      <c r="D251" s="4">
        <v>43293</v>
      </c>
      <c r="E251" t="s">
        <v>1267</v>
      </c>
      <c r="F251" s="9" t="s">
        <v>5</v>
      </c>
      <c r="G251" s="10">
        <v>27263.4</v>
      </c>
    </row>
    <row r="252" spans="1:7" x14ac:dyDescent="0.35">
      <c r="A252" s="8" t="s">
        <v>1258</v>
      </c>
      <c r="B252" s="9" t="s">
        <v>1259</v>
      </c>
      <c r="C252" s="4">
        <v>42915</v>
      </c>
      <c r="D252" s="4">
        <v>43276</v>
      </c>
      <c r="E252" t="s">
        <v>887</v>
      </c>
      <c r="F252" s="9" t="s">
        <v>5</v>
      </c>
      <c r="G252" s="10">
        <v>980</v>
      </c>
    </row>
    <row r="253" spans="1:7" x14ac:dyDescent="0.35">
      <c r="A253" s="8" t="s">
        <v>1142</v>
      </c>
      <c r="B253" s="9" t="s">
        <v>1209</v>
      </c>
      <c r="C253" s="4">
        <v>42915</v>
      </c>
      <c r="D253" s="4">
        <v>43179</v>
      </c>
      <c r="E253" t="s">
        <v>55</v>
      </c>
      <c r="F253" s="9" t="s">
        <v>5</v>
      </c>
      <c r="G253" s="10">
        <v>2430</v>
      </c>
    </row>
    <row r="254" spans="1:7" x14ac:dyDescent="0.35">
      <c r="A254" s="8" t="s">
        <v>1142</v>
      </c>
      <c r="B254" s="9" t="s">
        <v>1181</v>
      </c>
      <c r="C254" s="4">
        <v>42915</v>
      </c>
      <c r="D254" s="4">
        <v>43039</v>
      </c>
      <c r="E254" t="s">
        <v>1182</v>
      </c>
      <c r="F254" s="9" t="s">
        <v>5</v>
      </c>
      <c r="G254" s="10">
        <v>1260</v>
      </c>
    </row>
    <row r="255" spans="1:7" x14ac:dyDescent="0.35">
      <c r="A255" s="8" t="s">
        <v>1142</v>
      </c>
      <c r="B255" s="9" t="s">
        <v>1191</v>
      </c>
      <c r="C255" s="4">
        <v>42915</v>
      </c>
      <c r="D255" s="4">
        <v>43167</v>
      </c>
      <c r="E255" t="s">
        <v>1182</v>
      </c>
      <c r="F255" s="9" t="s">
        <v>5</v>
      </c>
      <c r="G255" s="10">
        <v>1260</v>
      </c>
    </row>
    <row r="256" spans="1:7" x14ac:dyDescent="0.35">
      <c r="A256" s="8" t="s">
        <v>1142</v>
      </c>
      <c r="B256" s="9" t="s">
        <v>1171</v>
      </c>
      <c r="C256" s="4">
        <v>42915</v>
      </c>
      <c r="D256" s="4">
        <v>43167</v>
      </c>
      <c r="E256" t="s">
        <v>41</v>
      </c>
      <c r="F256" s="9" t="s">
        <v>5</v>
      </c>
      <c r="G256" s="10">
        <v>1080</v>
      </c>
    </row>
    <row r="257" spans="1:7" x14ac:dyDescent="0.35">
      <c r="A257" s="8" t="s">
        <v>1142</v>
      </c>
      <c r="B257" s="9" t="s">
        <v>1144</v>
      </c>
      <c r="C257" s="4">
        <v>42915</v>
      </c>
      <c r="D257" s="4">
        <v>43203</v>
      </c>
      <c r="E257" t="s">
        <v>41</v>
      </c>
      <c r="F257" s="9" t="s">
        <v>5</v>
      </c>
      <c r="G257" s="10">
        <v>150</v>
      </c>
    </row>
    <row r="258" spans="1:7" x14ac:dyDescent="0.35">
      <c r="A258" s="8" t="s">
        <v>1142</v>
      </c>
      <c r="B258" s="9" t="s">
        <v>1199</v>
      </c>
      <c r="C258" s="4">
        <v>42915</v>
      </c>
      <c r="D258" s="4">
        <v>43158</v>
      </c>
      <c r="E258" t="s">
        <v>1200</v>
      </c>
      <c r="F258" s="9" t="s">
        <v>5</v>
      </c>
      <c r="G258" s="10">
        <v>1525</v>
      </c>
    </row>
    <row r="259" spans="1:7" x14ac:dyDescent="0.35">
      <c r="A259" s="8" t="s">
        <v>1258</v>
      </c>
      <c r="B259" s="9" t="s">
        <v>1260</v>
      </c>
      <c r="C259" s="4">
        <v>42915</v>
      </c>
      <c r="D259" s="4">
        <v>43272</v>
      </c>
      <c r="E259" t="s">
        <v>1261</v>
      </c>
      <c r="F259" s="9" t="s">
        <v>5</v>
      </c>
      <c r="G259" s="10">
        <v>2314</v>
      </c>
    </row>
    <row r="260" spans="1:7" x14ac:dyDescent="0.35">
      <c r="A260" s="8" t="s">
        <v>1219</v>
      </c>
      <c r="B260" s="9" t="s">
        <v>1220</v>
      </c>
      <c r="C260" s="4">
        <v>42915</v>
      </c>
      <c r="D260" s="4">
        <v>43129</v>
      </c>
      <c r="E260" t="s">
        <v>1221</v>
      </c>
      <c r="F260" s="9" t="s">
        <v>5</v>
      </c>
      <c r="G260" s="10">
        <v>672.48</v>
      </c>
    </row>
    <row r="261" spans="1:7" x14ac:dyDescent="0.35">
      <c r="A261" s="8" t="s">
        <v>1142</v>
      </c>
      <c r="B261" s="9" t="s">
        <v>1195</v>
      </c>
      <c r="C261" s="4">
        <v>42915</v>
      </c>
      <c r="D261" s="4">
        <v>43231</v>
      </c>
      <c r="E261" t="s">
        <v>961</v>
      </c>
      <c r="F261" s="9" t="s">
        <v>5</v>
      </c>
      <c r="G261" s="10">
        <v>1360</v>
      </c>
    </row>
    <row r="262" spans="1:7" x14ac:dyDescent="0.35">
      <c r="A262" s="8" t="s">
        <v>1142</v>
      </c>
      <c r="B262" s="9" t="s">
        <v>1157</v>
      </c>
      <c r="C262" s="4">
        <v>42915</v>
      </c>
      <c r="D262" s="4">
        <v>43081</v>
      </c>
      <c r="E262" t="s">
        <v>948</v>
      </c>
      <c r="F262" s="9" t="s">
        <v>5</v>
      </c>
      <c r="G262" s="10">
        <v>850</v>
      </c>
    </row>
    <row r="263" spans="1:7" x14ac:dyDescent="0.35">
      <c r="A263" s="8" t="s">
        <v>1142</v>
      </c>
      <c r="B263" s="9" t="s">
        <v>1151</v>
      </c>
      <c r="C263" s="4">
        <v>42915</v>
      </c>
      <c r="D263" s="4">
        <v>43136</v>
      </c>
      <c r="E263" t="s">
        <v>948</v>
      </c>
      <c r="F263" s="9" t="s">
        <v>5</v>
      </c>
      <c r="G263" s="10">
        <v>600</v>
      </c>
    </row>
    <row r="264" spans="1:7" x14ac:dyDescent="0.35">
      <c r="A264" s="8" t="s">
        <v>1268</v>
      </c>
      <c r="B264" s="9" t="s">
        <v>1296</v>
      </c>
      <c r="C264" s="4">
        <v>42915</v>
      </c>
      <c r="D264" s="4">
        <v>43635</v>
      </c>
      <c r="E264" t="s">
        <v>1297</v>
      </c>
      <c r="F264" s="9" t="s">
        <v>5</v>
      </c>
      <c r="G264" s="10">
        <v>50000</v>
      </c>
    </row>
    <row r="265" spans="1:7" x14ac:dyDescent="0.35">
      <c r="A265" s="8" t="s">
        <v>1142</v>
      </c>
      <c r="B265" s="9" t="s">
        <v>1147</v>
      </c>
      <c r="C265" s="4">
        <v>42915</v>
      </c>
      <c r="D265" s="4">
        <v>43203</v>
      </c>
      <c r="E265" t="s">
        <v>1148</v>
      </c>
      <c r="F265" s="9" t="s">
        <v>5</v>
      </c>
      <c r="G265" s="10">
        <v>150</v>
      </c>
    </row>
    <row r="266" spans="1:7" x14ac:dyDescent="0.35">
      <c r="A266" s="8" t="s">
        <v>1142</v>
      </c>
      <c r="B266" s="9" t="s">
        <v>1174</v>
      </c>
      <c r="C266" s="4">
        <v>42915</v>
      </c>
      <c r="D266" s="4">
        <v>43270</v>
      </c>
      <c r="E266" t="s">
        <v>1026</v>
      </c>
      <c r="F266" s="9" t="s">
        <v>5</v>
      </c>
      <c r="G266" s="10">
        <v>1111</v>
      </c>
    </row>
    <row r="267" spans="1:7" x14ac:dyDescent="0.35">
      <c r="A267" s="8" t="s">
        <v>1268</v>
      </c>
      <c r="B267" s="9" t="s">
        <v>1282</v>
      </c>
      <c r="C267" s="4">
        <v>42915</v>
      </c>
      <c r="D267" s="4">
        <v>43273</v>
      </c>
      <c r="E267" t="s">
        <v>1283</v>
      </c>
      <c r="F267" s="9" t="s">
        <v>5</v>
      </c>
      <c r="G267" s="10">
        <v>50000</v>
      </c>
    </row>
    <row r="268" spans="1:7" x14ac:dyDescent="0.35">
      <c r="A268" s="8" t="s">
        <v>1142</v>
      </c>
      <c r="B268" s="9" t="s">
        <v>1149</v>
      </c>
      <c r="C268" s="4">
        <v>42915</v>
      </c>
      <c r="D268" s="4">
        <v>43244</v>
      </c>
      <c r="E268" t="s">
        <v>1150</v>
      </c>
      <c r="F268" s="9" t="s">
        <v>5</v>
      </c>
      <c r="G268" s="10">
        <v>420</v>
      </c>
    </row>
    <row r="269" spans="1:7" x14ac:dyDescent="0.35">
      <c r="A269" s="8" t="s">
        <v>1298</v>
      </c>
      <c r="B269" s="9" t="s">
        <v>1306</v>
      </c>
      <c r="C269" s="4">
        <v>42915</v>
      </c>
      <c r="D269" s="4">
        <v>43159</v>
      </c>
      <c r="E269" t="s">
        <v>1093</v>
      </c>
      <c r="F269" s="9" t="s">
        <v>5</v>
      </c>
      <c r="G269" s="10">
        <v>50000</v>
      </c>
    </row>
    <row r="270" spans="1:7" x14ac:dyDescent="0.35">
      <c r="A270" s="8" t="s">
        <v>1249</v>
      </c>
      <c r="B270" s="9" t="s">
        <v>1256</v>
      </c>
      <c r="C270" s="4">
        <v>42915</v>
      </c>
      <c r="D270" s="4">
        <v>43280</v>
      </c>
      <c r="E270" t="s">
        <v>1257</v>
      </c>
      <c r="F270" s="9" t="s">
        <v>5</v>
      </c>
      <c r="G270" s="10">
        <v>2000</v>
      </c>
    </row>
    <row r="271" spans="1:7" x14ac:dyDescent="0.35">
      <c r="A271" s="8" t="s">
        <v>1142</v>
      </c>
      <c r="B271" s="9" t="s">
        <v>1215</v>
      </c>
      <c r="C271" s="4">
        <v>42915</v>
      </c>
      <c r="D271" s="4">
        <v>43186</v>
      </c>
      <c r="E271" t="s">
        <v>64</v>
      </c>
      <c r="F271" s="9" t="s">
        <v>5</v>
      </c>
      <c r="G271" s="10">
        <v>5695</v>
      </c>
    </row>
    <row r="272" spans="1:7" x14ac:dyDescent="0.35">
      <c r="A272" s="8" t="s">
        <v>1142</v>
      </c>
      <c r="B272" s="9" t="s">
        <v>1211</v>
      </c>
      <c r="C272" s="4">
        <v>42915</v>
      </c>
      <c r="D272" s="4">
        <v>43129</v>
      </c>
      <c r="E272" t="s">
        <v>973</v>
      </c>
      <c r="F272" s="9" t="s">
        <v>5</v>
      </c>
      <c r="G272" s="10">
        <v>2800</v>
      </c>
    </row>
    <row r="273" spans="1:7" x14ac:dyDescent="0.35">
      <c r="A273" s="8" t="s">
        <v>1142</v>
      </c>
      <c r="B273" s="9" t="s">
        <v>1175</v>
      </c>
      <c r="C273" s="4">
        <v>42915</v>
      </c>
      <c r="D273" s="4">
        <v>43082</v>
      </c>
      <c r="E273" t="s">
        <v>91</v>
      </c>
      <c r="F273" s="9" t="s">
        <v>5</v>
      </c>
      <c r="G273" s="10">
        <v>1145</v>
      </c>
    </row>
    <row r="274" spans="1:7" x14ac:dyDescent="0.35">
      <c r="A274" s="8" t="s">
        <v>1142</v>
      </c>
      <c r="B274" s="9" t="s">
        <v>1161</v>
      </c>
      <c r="C274" s="4">
        <v>42915</v>
      </c>
      <c r="D274" s="4">
        <v>43209</v>
      </c>
      <c r="E274" t="s">
        <v>91</v>
      </c>
      <c r="F274" s="9" t="s">
        <v>5</v>
      </c>
      <c r="G274" s="10">
        <v>1007.5</v>
      </c>
    </row>
    <row r="275" spans="1:7" x14ac:dyDescent="0.35">
      <c r="A275" s="8" t="s">
        <v>1142</v>
      </c>
      <c r="B275" s="9" t="s">
        <v>1201</v>
      </c>
      <c r="C275" s="4">
        <v>42915</v>
      </c>
      <c r="D275" s="4">
        <v>43187</v>
      </c>
      <c r="E275" t="s">
        <v>57</v>
      </c>
      <c r="F275" s="9" t="s">
        <v>5</v>
      </c>
      <c r="G275" s="10">
        <v>1655</v>
      </c>
    </row>
    <row r="276" spans="1:7" x14ac:dyDescent="0.35">
      <c r="A276" s="8" t="s">
        <v>1142</v>
      </c>
      <c r="B276" s="9" t="s">
        <v>1208</v>
      </c>
      <c r="C276" s="4">
        <v>42915</v>
      </c>
      <c r="D276" s="4">
        <v>43174</v>
      </c>
      <c r="E276" t="s">
        <v>956</v>
      </c>
      <c r="F276" s="9" t="s">
        <v>5</v>
      </c>
      <c r="G276" s="10">
        <v>2240</v>
      </c>
    </row>
    <row r="277" spans="1:7" x14ac:dyDescent="0.35">
      <c r="A277" s="8" t="s">
        <v>1142</v>
      </c>
      <c r="B277" s="9" t="s">
        <v>1168</v>
      </c>
      <c r="C277" s="4">
        <v>42915</v>
      </c>
      <c r="D277" s="4">
        <v>43042</v>
      </c>
      <c r="E277" t="s">
        <v>1169</v>
      </c>
      <c r="F277" s="9" t="s">
        <v>5</v>
      </c>
      <c r="G277" s="10">
        <v>1080</v>
      </c>
    </row>
    <row r="278" spans="1:7" x14ac:dyDescent="0.35">
      <c r="A278" s="8" t="s">
        <v>1142</v>
      </c>
      <c r="B278" s="9" t="s">
        <v>1170</v>
      </c>
      <c r="C278" s="4">
        <v>42915</v>
      </c>
      <c r="D278" s="4">
        <v>43167</v>
      </c>
      <c r="E278" t="s">
        <v>1169</v>
      </c>
      <c r="F278" s="9" t="s">
        <v>5</v>
      </c>
      <c r="G278" s="10">
        <v>1080</v>
      </c>
    </row>
    <row r="279" spans="1:7" x14ac:dyDescent="0.35">
      <c r="A279" s="8" t="s">
        <v>1268</v>
      </c>
      <c r="B279" s="9" t="s">
        <v>1288</v>
      </c>
      <c r="C279" s="4">
        <v>42915</v>
      </c>
      <c r="D279" s="4">
        <v>43340</v>
      </c>
      <c r="E279" t="s">
        <v>1289</v>
      </c>
      <c r="F279" s="9" t="s">
        <v>5</v>
      </c>
      <c r="G279" s="10">
        <v>50000</v>
      </c>
    </row>
    <row r="280" spans="1:7" x14ac:dyDescent="0.35">
      <c r="A280" s="8" t="s">
        <v>1142</v>
      </c>
      <c r="B280" s="9" t="s">
        <v>1162</v>
      </c>
      <c r="C280" s="4">
        <v>42915</v>
      </c>
      <c r="D280" s="4">
        <v>43038</v>
      </c>
      <c r="E280" t="s">
        <v>922</v>
      </c>
      <c r="F280" s="9" t="s">
        <v>5</v>
      </c>
      <c r="G280" s="10">
        <v>1080</v>
      </c>
    </row>
    <row r="281" spans="1:7" x14ac:dyDescent="0.35">
      <c r="A281" s="8" t="s">
        <v>1268</v>
      </c>
      <c r="B281" s="9" t="s">
        <v>1269</v>
      </c>
      <c r="C281" s="4">
        <v>42915</v>
      </c>
      <c r="D281" s="4">
        <v>43390</v>
      </c>
      <c r="E281" t="s">
        <v>1270</v>
      </c>
      <c r="F281" s="9" t="s">
        <v>5</v>
      </c>
      <c r="G281" s="10">
        <v>10000</v>
      </c>
    </row>
    <row r="282" spans="1:7" x14ac:dyDescent="0.35">
      <c r="A282" s="8" t="s">
        <v>1298</v>
      </c>
      <c r="B282" s="9" t="s">
        <v>1307</v>
      </c>
      <c r="C282" s="4">
        <v>42915</v>
      </c>
      <c r="D282" s="4">
        <v>43262</v>
      </c>
      <c r="E282" t="s">
        <v>740</v>
      </c>
      <c r="F282" s="9" t="s">
        <v>5</v>
      </c>
      <c r="G282" s="10">
        <v>50000</v>
      </c>
    </row>
    <row r="283" spans="1:7" x14ac:dyDescent="0.35">
      <c r="A283" s="8" t="s">
        <v>1268</v>
      </c>
      <c r="B283" s="9" t="s">
        <v>1278</v>
      </c>
      <c r="C283" s="4">
        <v>42915</v>
      </c>
      <c r="D283" s="4">
        <v>43236</v>
      </c>
      <c r="E283" t="s">
        <v>1279</v>
      </c>
      <c r="F283" s="9" t="s">
        <v>5</v>
      </c>
      <c r="G283" s="10">
        <v>50000</v>
      </c>
    </row>
    <row r="284" spans="1:7" x14ac:dyDescent="0.35">
      <c r="A284" s="8" t="s">
        <v>1298</v>
      </c>
      <c r="B284" s="9" t="s">
        <v>1304</v>
      </c>
      <c r="C284" s="4">
        <v>42915</v>
      </c>
      <c r="D284" s="4">
        <v>43159</v>
      </c>
      <c r="E284" t="s">
        <v>1305</v>
      </c>
      <c r="F284" s="9" t="s">
        <v>5</v>
      </c>
      <c r="G284" s="10">
        <v>40000</v>
      </c>
    </row>
    <row r="285" spans="1:7" x14ac:dyDescent="0.35">
      <c r="A285" s="8" t="s">
        <v>1258</v>
      </c>
      <c r="B285" s="9" t="s">
        <v>1264</v>
      </c>
      <c r="C285" s="4">
        <v>42915</v>
      </c>
      <c r="D285" s="4">
        <v>43279</v>
      </c>
      <c r="E285" t="s">
        <v>1265</v>
      </c>
      <c r="F285" s="9" t="s">
        <v>5</v>
      </c>
      <c r="G285" s="10">
        <v>9503</v>
      </c>
    </row>
    <row r="286" spans="1:7" x14ac:dyDescent="0.35">
      <c r="A286" s="8" t="s">
        <v>1142</v>
      </c>
      <c r="B286" s="9" t="s">
        <v>1180</v>
      </c>
      <c r="C286" s="4">
        <v>42915</v>
      </c>
      <c r="D286" s="4">
        <v>43035</v>
      </c>
      <c r="E286" t="s">
        <v>1034</v>
      </c>
      <c r="F286" s="9" t="s">
        <v>5</v>
      </c>
      <c r="G286" s="10">
        <v>1260</v>
      </c>
    </row>
    <row r="287" spans="1:7" x14ac:dyDescent="0.35">
      <c r="A287" s="8" t="s">
        <v>1142</v>
      </c>
      <c r="B287" s="9" t="s">
        <v>1194</v>
      </c>
      <c r="C287" s="4">
        <v>42915</v>
      </c>
      <c r="D287" s="4">
        <v>43167</v>
      </c>
      <c r="E287" t="s">
        <v>1034</v>
      </c>
      <c r="F287" s="9" t="s">
        <v>5</v>
      </c>
      <c r="G287" s="10">
        <v>1260</v>
      </c>
    </row>
    <row r="288" spans="1:7" x14ac:dyDescent="0.35">
      <c r="A288" s="8" t="s">
        <v>1219</v>
      </c>
      <c r="B288" s="9" t="s">
        <v>1229</v>
      </c>
      <c r="C288" s="4">
        <v>42915</v>
      </c>
      <c r="D288" s="4">
        <v>43297</v>
      </c>
      <c r="E288" t="s">
        <v>1230</v>
      </c>
      <c r="F288" s="9" t="s">
        <v>5</v>
      </c>
      <c r="G288" s="10">
        <v>995</v>
      </c>
    </row>
    <row r="289" spans="1:7" x14ac:dyDescent="0.35">
      <c r="A289" s="8" t="s">
        <v>1142</v>
      </c>
      <c r="B289" s="9" t="s">
        <v>1183</v>
      </c>
      <c r="C289" s="4">
        <v>42915</v>
      </c>
      <c r="D289" s="4">
        <v>43039</v>
      </c>
      <c r="E289" t="s">
        <v>23</v>
      </c>
      <c r="F289" s="9" t="s">
        <v>5</v>
      </c>
      <c r="G289" s="10">
        <v>1260</v>
      </c>
    </row>
    <row r="290" spans="1:7" x14ac:dyDescent="0.35">
      <c r="A290" s="8" t="s">
        <v>1249</v>
      </c>
      <c r="B290" s="9" t="s">
        <v>1250</v>
      </c>
      <c r="C290" s="4">
        <v>42915</v>
      </c>
      <c r="D290" s="4">
        <v>43279</v>
      </c>
      <c r="E290" t="s">
        <v>1251</v>
      </c>
      <c r="F290" s="9" t="s">
        <v>5</v>
      </c>
      <c r="G290" s="10">
        <v>2000</v>
      </c>
    </row>
    <row r="291" spans="1:7" x14ac:dyDescent="0.35">
      <c r="A291" s="8" t="s">
        <v>1219</v>
      </c>
      <c r="B291" s="9" t="s">
        <v>1231</v>
      </c>
      <c r="C291" s="4">
        <v>42915</v>
      </c>
      <c r="D291" s="4">
        <v>42976</v>
      </c>
      <c r="E291" t="s">
        <v>1189</v>
      </c>
      <c r="F291" s="9" t="s">
        <v>5</v>
      </c>
      <c r="G291" s="10">
        <v>999.99</v>
      </c>
    </row>
    <row r="292" spans="1:7" x14ac:dyDescent="0.35">
      <c r="A292" s="8" t="s">
        <v>1142</v>
      </c>
      <c r="B292" s="9" t="s">
        <v>1188</v>
      </c>
      <c r="C292" s="4">
        <v>42915</v>
      </c>
      <c r="D292" s="4">
        <v>43167</v>
      </c>
      <c r="E292" t="s">
        <v>1189</v>
      </c>
      <c r="F292" s="9" t="s">
        <v>5</v>
      </c>
      <c r="G292" s="10">
        <v>1260</v>
      </c>
    </row>
    <row r="293" spans="1:7" x14ac:dyDescent="0.35">
      <c r="A293" s="8" t="s">
        <v>1258</v>
      </c>
      <c r="B293" s="9" t="s">
        <v>1262</v>
      </c>
      <c r="C293" s="4">
        <v>42915</v>
      </c>
      <c r="D293" s="4">
        <v>43270</v>
      </c>
      <c r="E293" t="s">
        <v>1263</v>
      </c>
      <c r="F293" s="9" t="s">
        <v>5</v>
      </c>
      <c r="G293" s="10">
        <v>6000</v>
      </c>
    </row>
    <row r="294" spans="1:7" x14ac:dyDescent="0.35">
      <c r="A294" s="8" t="s">
        <v>1142</v>
      </c>
      <c r="B294" s="9" t="s">
        <v>1163</v>
      </c>
      <c r="C294" s="4">
        <v>42915</v>
      </c>
      <c r="D294" s="4">
        <v>43039</v>
      </c>
      <c r="E294" t="s">
        <v>111</v>
      </c>
      <c r="F294" s="9" t="s">
        <v>5</v>
      </c>
      <c r="G294" s="10">
        <v>1080</v>
      </c>
    </row>
    <row r="295" spans="1:7" x14ac:dyDescent="0.35">
      <c r="A295" s="8" t="s">
        <v>1142</v>
      </c>
      <c r="B295" s="9" t="s">
        <v>1197</v>
      </c>
      <c r="C295" s="4">
        <v>42915</v>
      </c>
      <c r="D295" s="4">
        <v>43151</v>
      </c>
      <c r="E295" t="s">
        <v>1198</v>
      </c>
      <c r="F295" s="9" t="s">
        <v>5</v>
      </c>
      <c r="G295" s="10">
        <v>1500</v>
      </c>
    </row>
    <row r="296" spans="1:7" x14ac:dyDescent="0.35">
      <c r="A296" s="8" t="s">
        <v>1142</v>
      </c>
      <c r="B296" s="9" t="s">
        <v>1212</v>
      </c>
      <c r="C296" s="4">
        <v>42915</v>
      </c>
      <c r="D296" s="4">
        <v>42972</v>
      </c>
      <c r="E296" t="s">
        <v>51</v>
      </c>
      <c r="F296" s="9" t="s">
        <v>5</v>
      </c>
      <c r="G296" s="10">
        <v>3400</v>
      </c>
    </row>
    <row r="297" spans="1:7" x14ac:dyDescent="0.35">
      <c r="A297" s="8" t="s">
        <v>1142</v>
      </c>
      <c r="B297" s="9" t="s">
        <v>1216</v>
      </c>
      <c r="C297" s="4">
        <v>42915</v>
      </c>
      <c r="D297" s="4">
        <v>43153</v>
      </c>
      <c r="E297" t="s">
        <v>51</v>
      </c>
      <c r="F297" s="9" t="s">
        <v>5</v>
      </c>
      <c r="G297" s="10">
        <v>5750</v>
      </c>
    </row>
    <row r="298" spans="1:7" x14ac:dyDescent="0.35">
      <c r="A298" s="8" t="s">
        <v>1219</v>
      </c>
      <c r="B298" s="9" t="s">
        <v>1222</v>
      </c>
      <c r="C298" s="4">
        <v>42915</v>
      </c>
      <c r="D298" s="4">
        <v>43320</v>
      </c>
      <c r="E298" t="s">
        <v>998</v>
      </c>
      <c r="F298" s="9" t="s">
        <v>5</v>
      </c>
      <c r="G298" s="10">
        <v>769.01</v>
      </c>
    </row>
    <row r="299" spans="1:7" x14ac:dyDescent="0.35">
      <c r="A299" s="8" t="s">
        <v>1219</v>
      </c>
      <c r="B299" s="9" t="s">
        <v>1236</v>
      </c>
      <c r="C299" s="4">
        <v>42915</v>
      </c>
      <c r="D299" s="4">
        <v>43132</v>
      </c>
      <c r="E299" t="s">
        <v>1237</v>
      </c>
      <c r="F299" s="9" t="s">
        <v>5</v>
      </c>
      <c r="G299" s="10">
        <v>1000</v>
      </c>
    </row>
    <row r="300" spans="1:7" x14ac:dyDescent="0.35">
      <c r="A300" s="8" t="s">
        <v>1219</v>
      </c>
      <c r="B300" s="9" t="s">
        <v>1232</v>
      </c>
      <c r="C300" s="4">
        <v>42915</v>
      </c>
      <c r="D300" s="4">
        <v>42989</v>
      </c>
      <c r="E300" t="s">
        <v>1233</v>
      </c>
      <c r="F300" s="9" t="s">
        <v>5</v>
      </c>
      <c r="G300" s="10">
        <v>1000</v>
      </c>
    </row>
    <row r="301" spans="1:7" x14ac:dyDescent="0.35">
      <c r="A301" s="8" t="s">
        <v>1249</v>
      </c>
      <c r="B301" s="9" t="s">
        <v>1252</v>
      </c>
      <c r="C301" s="4">
        <v>42915</v>
      </c>
      <c r="D301" s="4">
        <v>43280</v>
      </c>
      <c r="E301" t="s">
        <v>1253</v>
      </c>
      <c r="F301" s="9" t="s">
        <v>5</v>
      </c>
      <c r="G301" s="10">
        <v>2000</v>
      </c>
    </row>
    <row r="302" spans="1:7" x14ac:dyDescent="0.35">
      <c r="A302" s="8" t="s">
        <v>1268</v>
      </c>
      <c r="B302" s="9" t="s">
        <v>1294</v>
      </c>
      <c r="C302" s="4">
        <v>42915</v>
      </c>
      <c r="D302" s="4">
        <v>43370</v>
      </c>
      <c r="E302" t="s">
        <v>1295</v>
      </c>
      <c r="F302" s="9" t="s">
        <v>5</v>
      </c>
      <c r="G302" s="10">
        <v>50000</v>
      </c>
    </row>
    <row r="303" spans="1:7" x14ac:dyDescent="0.35">
      <c r="A303" s="8" t="s">
        <v>1268</v>
      </c>
      <c r="B303" s="9" t="s">
        <v>1290</v>
      </c>
      <c r="C303" s="4">
        <v>42915</v>
      </c>
      <c r="D303" s="4">
        <v>43347</v>
      </c>
      <c r="E303" t="s">
        <v>1291</v>
      </c>
      <c r="F303" s="9" t="s">
        <v>5</v>
      </c>
      <c r="G303" s="10">
        <v>50000</v>
      </c>
    </row>
    <row r="304" spans="1:7" x14ac:dyDescent="0.35">
      <c r="A304" s="8" t="s">
        <v>1219</v>
      </c>
      <c r="B304" s="9" t="s">
        <v>1245</v>
      </c>
      <c r="C304" s="4">
        <v>42915</v>
      </c>
      <c r="D304" s="4">
        <v>43214</v>
      </c>
      <c r="E304" t="s">
        <v>1246</v>
      </c>
      <c r="F304" s="9" t="s">
        <v>5</v>
      </c>
      <c r="G304" s="10">
        <v>1000</v>
      </c>
    </row>
    <row r="305" spans="1:7" x14ac:dyDescent="0.35">
      <c r="A305" s="8" t="s">
        <v>1219</v>
      </c>
      <c r="B305" s="9" t="s">
        <v>1242</v>
      </c>
      <c r="C305" s="4">
        <v>42915</v>
      </c>
      <c r="D305" s="4">
        <v>43167</v>
      </c>
      <c r="E305" t="s">
        <v>1173</v>
      </c>
      <c r="F305" s="9" t="s">
        <v>5</v>
      </c>
      <c r="G305" s="10">
        <v>1000</v>
      </c>
    </row>
    <row r="306" spans="1:7" x14ac:dyDescent="0.35">
      <c r="A306" s="8" t="s">
        <v>1142</v>
      </c>
      <c r="B306" s="9" t="s">
        <v>1172</v>
      </c>
      <c r="C306" s="4">
        <v>42915</v>
      </c>
      <c r="D306" s="4">
        <v>43167</v>
      </c>
      <c r="E306" t="s">
        <v>1173</v>
      </c>
      <c r="F306" s="9" t="s">
        <v>5</v>
      </c>
      <c r="G306" s="10">
        <v>1080</v>
      </c>
    </row>
    <row r="307" spans="1:7" x14ac:dyDescent="0.35">
      <c r="A307" s="8" t="s">
        <v>1142</v>
      </c>
      <c r="B307" s="9" t="s">
        <v>1145</v>
      </c>
      <c r="C307" s="4">
        <v>42915</v>
      </c>
      <c r="D307" s="4">
        <v>43203</v>
      </c>
      <c r="E307" t="s">
        <v>1146</v>
      </c>
      <c r="F307" s="9" t="s">
        <v>5</v>
      </c>
      <c r="G307" s="10">
        <v>150</v>
      </c>
    </row>
    <row r="308" spans="1:7" x14ac:dyDescent="0.35">
      <c r="A308" s="8" t="s">
        <v>1219</v>
      </c>
      <c r="B308" s="9" t="s">
        <v>1243</v>
      </c>
      <c r="C308" s="4">
        <v>42915</v>
      </c>
      <c r="D308" s="4">
        <v>43171</v>
      </c>
      <c r="E308" t="s">
        <v>1244</v>
      </c>
      <c r="F308" s="9" t="s">
        <v>5</v>
      </c>
      <c r="G308" s="10">
        <v>1000</v>
      </c>
    </row>
    <row r="309" spans="1:7" x14ac:dyDescent="0.35">
      <c r="A309" s="8" t="s">
        <v>228</v>
      </c>
      <c r="B309" s="9" t="s">
        <v>229</v>
      </c>
      <c r="C309" s="4">
        <v>42915</v>
      </c>
      <c r="D309" s="4">
        <v>43465</v>
      </c>
      <c r="E309" t="s">
        <v>230</v>
      </c>
      <c r="F309" s="11" t="s">
        <v>4</v>
      </c>
      <c r="G309" s="10">
        <v>11582</v>
      </c>
    </row>
    <row r="310" spans="1:7" x14ac:dyDescent="0.35">
      <c r="A310" s="8" t="s">
        <v>1308</v>
      </c>
      <c r="B310" s="9" t="s">
        <v>229</v>
      </c>
      <c r="C310" s="4">
        <v>42915</v>
      </c>
      <c r="D310" s="4">
        <v>43465</v>
      </c>
      <c r="E310" t="s">
        <v>1309</v>
      </c>
      <c r="F310" s="9" t="s">
        <v>5</v>
      </c>
      <c r="G310" s="10">
        <v>7220</v>
      </c>
    </row>
    <row r="311" spans="1:7" x14ac:dyDescent="0.35">
      <c r="A311" s="8" t="s">
        <v>1142</v>
      </c>
      <c r="B311" s="9" t="s">
        <v>1184</v>
      </c>
      <c r="C311" s="4">
        <v>42915</v>
      </c>
      <c r="D311" s="4">
        <v>43040</v>
      </c>
      <c r="E311" t="s">
        <v>136</v>
      </c>
      <c r="F311" s="9" t="s">
        <v>5</v>
      </c>
      <c r="G311" s="10">
        <v>1260</v>
      </c>
    </row>
    <row r="312" spans="1:7" x14ac:dyDescent="0.35">
      <c r="A312" s="8" t="s">
        <v>1142</v>
      </c>
      <c r="B312" s="9" t="s">
        <v>1192</v>
      </c>
      <c r="C312" s="4">
        <v>42915</v>
      </c>
      <c r="D312" s="4">
        <v>43167</v>
      </c>
      <c r="E312" t="s">
        <v>136</v>
      </c>
      <c r="F312" s="9" t="s">
        <v>5</v>
      </c>
      <c r="G312" s="10">
        <v>1260</v>
      </c>
    </row>
    <row r="313" spans="1:7" x14ac:dyDescent="0.35">
      <c r="A313" s="8" t="s">
        <v>1268</v>
      </c>
      <c r="B313" s="9" t="s">
        <v>1277</v>
      </c>
      <c r="C313" s="4">
        <v>42915</v>
      </c>
      <c r="D313" s="4">
        <v>43129</v>
      </c>
      <c r="E313" t="s">
        <v>150</v>
      </c>
      <c r="F313" s="9" t="s">
        <v>5</v>
      </c>
      <c r="G313" s="10">
        <v>50000</v>
      </c>
    </row>
    <row r="314" spans="1:7" x14ac:dyDescent="0.35">
      <c r="A314" s="8" t="s">
        <v>1136</v>
      </c>
      <c r="B314" s="9" t="s">
        <v>1137</v>
      </c>
      <c r="C314" s="4">
        <v>42929</v>
      </c>
      <c r="D314" s="4">
        <v>42996</v>
      </c>
      <c r="E314" t="s">
        <v>1138</v>
      </c>
      <c r="F314" s="9" t="s">
        <v>5</v>
      </c>
      <c r="G314" s="10">
        <v>15711.46</v>
      </c>
    </row>
    <row r="315" spans="1:7" x14ac:dyDescent="0.35">
      <c r="A315" s="8" t="s">
        <v>1539</v>
      </c>
      <c r="B315" s="9" t="s">
        <v>1540</v>
      </c>
      <c r="C315" s="4">
        <v>42929</v>
      </c>
      <c r="D315" s="4">
        <v>43185</v>
      </c>
      <c r="E315" t="s">
        <v>1123</v>
      </c>
      <c r="F315" s="9" t="s">
        <v>5</v>
      </c>
      <c r="G315" s="10">
        <v>16800</v>
      </c>
    </row>
    <row r="316" spans="1:7" x14ac:dyDescent="0.35">
      <c r="A316" s="8" t="s">
        <v>1581</v>
      </c>
      <c r="B316" s="9" t="s">
        <v>1582</v>
      </c>
      <c r="C316" s="4">
        <v>42931</v>
      </c>
      <c r="D316" s="4">
        <v>43385</v>
      </c>
      <c r="E316" t="s">
        <v>1583</v>
      </c>
      <c r="F316" s="9" t="s">
        <v>5</v>
      </c>
      <c r="G316" s="10">
        <v>4000</v>
      </c>
    </row>
    <row r="317" spans="1:7" x14ac:dyDescent="0.35">
      <c r="A317" s="8" t="s">
        <v>1139</v>
      </c>
      <c r="B317" s="9" t="s">
        <v>1140</v>
      </c>
      <c r="C317" s="4">
        <v>42937</v>
      </c>
      <c r="D317" s="4">
        <v>43185</v>
      </c>
      <c r="E317" t="s">
        <v>1141</v>
      </c>
      <c r="F317" s="9" t="s">
        <v>5</v>
      </c>
      <c r="G317" s="10">
        <v>19800</v>
      </c>
    </row>
    <row r="318" spans="1:7" x14ac:dyDescent="0.35">
      <c r="A318" s="8" t="s">
        <v>271</v>
      </c>
      <c r="B318" s="9" t="s">
        <v>272</v>
      </c>
      <c r="C318" s="4">
        <v>42943</v>
      </c>
      <c r="D318" s="4">
        <v>43760</v>
      </c>
      <c r="E318" t="s">
        <v>227</v>
      </c>
      <c r="F318" s="11" t="s">
        <v>4</v>
      </c>
      <c r="G318" s="10">
        <v>263000</v>
      </c>
    </row>
    <row r="319" spans="1:7" x14ac:dyDescent="0.35">
      <c r="A319" s="8" t="s">
        <v>225</v>
      </c>
      <c r="B319" s="9" t="s">
        <v>226</v>
      </c>
      <c r="C319" s="4">
        <v>42943</v>
      </c>
      <c r="D319" s="4">
        <v>43214</v>
      </c>
      <c r="E319" t="s">
        <v>227</v>
      </c>
      <c r="F319" s="11" t="s">
        <v>4</v>
      </c>
      <c r="G319" s="10">
        <v>300000</v>
      </c>
    </row>
    <row r="320" spans="1:7" x14ac:dyDescent="0.35">
      <c r="A320" s="8" t="s">
        <v>273</v>
      </c>
      <c r="B320" s="9" t="s">
        <v>2569</v>
      </c>
      <c r="C320" s="4">
        <v>42943</v>
      </c>
      <c r="D320" s="4"/>
      <c r="E320" t="s">
        <v>274</v>
      </c>
      <c r="F320" s="11" t="s">
        <v>4</v>
      </c>
      <c r="G320" s="10">
        <v>200000</v>
      </c>
    </row>
    <row r="321" spans="1:7" x14ac:dyDescent="0.35">
      <c r="A321" s="8" t="s">
        <v>255</v>
      </c>
      <c r="B321" s="9" t="s">
        <v>256</v>
      </c>
      <c r="C321" s="4">
        <v>42943</v>
      </c>
      <c r="D321" s="4">
        <v>43419</v>
      </c>
      <c r="E321" t="s">
        <v>257</v>
      </c>
      <c r="F321" s="11" t="s">
        <v>4</v>
      </c>
      <c r="G321" s="10">
        <v>250000</v>
      </c>
    </row>
    <row r="322" spans="1:7" x14ac:dyDescent="0.35">
      <c r="A322" s="8" t="s">
        <v>222</v>
      </c>
      <c r="B322" s="9" t="s">
        <v>223</v>
      </c>
      <c r="C322" s="4">
        <v>42943</v>
      </c>
      <c r="D322" s="4">
        <v>43087</v>
      </c>
      <c r="E322" t="s">
        <v>224</v>
      </c>
      <c r="F322" s="11" t="s">
        <v>4</v>
      </c>
      <c r="G322" s="10">
        <v>637000</v>
      </c>
    </row>
    <row r="323" spans="1:7" x14ac:dyDescent="0.35">
      <c r="A323" s="8" t="s">
        <v>234</v>
      </c>
      <c r="B323" s="9" t="s">
        <v>235</v>
      </c>
      <c r="C323" s="4">
        <v>42943</v>
      </c>
      <c r="D323" s="4">
        <v>43124</v>
      </c>
      <c r="E323" t="s">
        <v>191</v>
      </c>
      <c r="F323" s="11" t="s">
        <v>4</v>
      </c>
      <c r="G323" s="10">
        <v>113200</v>
      </c>
    </row>
    <row r="324" spans="1:7" x14ac:dyDescent="0.35">
      <c r="A324" s="8" t="s">
        <v>1584</v>
      </c>
      <c r="B324" s="9" t="s">
        <v>1585</v>
      </c>
      <c r="C324" s="4">
        <v>42944</v>
      </c>
      <c r="D324" s="4">
        <v>43556</v>
      </c>
      <c r="E324" t="s">
        <v>1586</v>
      </c>
      <c r="F324" s="9" t="s">
        <v>5</v>
      </c>
      <c r="G324" s="10">
        <v>14000</v>
      </c>
    </row>
    <row r="325" spans="1:7" x14ac:dyDescent="0.35">
      <c r="A325" s="8" t="s">
        <v>1526</v>
      </c>
      <c r="B325" s="9" t="s">
        <v>1527</v>
      </c>
      <c r="C325" s="4">
        <v>42972</v>
      </c>
      <c r="D325" s="4">
        <v>43153</v>
      </c>
      <c r="E325" t="s">
        <v>1470</v>
      </c>
      <c r="F325" s="9" t="s">
        <v>5</v>
      </c>
      <c r="G325" s="10">
        <v>33745</v>
      </c>
    </row>
    <row r="326" spans="1:7" x14ac:dyDescent="0.35">
      <c r="A326" s="8" t="s">
        <v>1886</v>
      </c>
      <c r="B326" s="9" t="s">
        <v>1905</v>
      </c>
      <c r="C326" s="4">
        <v>42992</v>
      </c>
      <c r="D326" s="4">
        <v>43622</v>
      </c>
      <c r="E326" t="s">
        <v>1906</v>
      </c>
      <c r="F326" s="9" t="s">
        <v>5</v>
      </c>
      <c r="G326" s="10">
        <v>50000</v>
      </c>
    </row>
    <row r="327" spans="1:7" x14ac:dyDescent="0.35">
      <c r="A327" s="8" t="s">
        <v>1886</v>
      </c>
      <c r="B327" s="9" t="s">
        <v>1921</v>
      </c>
      <c r="C327" s="4">
        <v>42992</v>
      </c>
      <c r="D327" s="4">
        <v>44056</v>
      </c>
      <c r="E327" t="s">
        <v>1922</v>
      </c>
      <c r="F327" s="9" t="s">
        <v>5</v>
      </c>
      <c r="G327" s="10">
        <v>50000</v>
      </c>
    </row>
    <row r="328" spans="1:7" x14ac:dyDescent="0.35">
      <c r="A328" s="8" t="s">
        <v>1886</v>
      </c>
      <c r="B328" s="9" t="s">
        <v>1929</v>
      </c>
      <c r="C328" s="4">
        <v>42992</v>
      </c>
      <c r="D328" s="4">
        <v>43525</v>
      </c>
      <c r="E328" t="s">
        <v>1930</v>
      </c>
      <c r="F328" s="9" t="s">
        <v>5</v>
      </c>
      <c r="G328" s="10">
        <v>80000</v>
      </c>
    </row>
    <row r="329" spans="1:7" x14ac:dyDescent="0.35">
      <c r="A329" s="8" t="s">
        <v>1886</v>
      </c>
      <c r="B329" s="9" t="s">
        <v>1931</v>
      </c>
      <c r="C329" s="4">
        <v>42992</v>
      </c>
      <c r="D329" s="4">
        <v>43530</v>
      </c>
      <c r="E329" t="s">
        <v>1932</v>
      </c>
      <c r="F329" s="9" t="s">
        <v>5</v>
      </c>
      <c r="G329" s="10">
        <v>80000</v>
      </c>
    </row>
    <row r="330" spans="1:7" x14ac:dyDescent="0.35">
      <c r="A330" s="8" t="s">
        <v>1886</v>
      </c>
      <c r="B330" s="9" t="s">
        <v>1915</v>
      </c>
      <c r="C330" s="4">
        <v>42992</v>
      </c>
      <c r="D330" s="4">
        <v>43796</v>
      </c>
      <c r="E330" t="s">
        <v>1916</v>
      </c>
      <c r="F330" s="9" t="s">
        <v>5</v>
      </c>
      <c r="G330" s="10">
        <v>50000</v>
      </c>
    </row>
    <row r="331" spans="1:7" x14ac:dyDescent="0.35">
      <c r="A331" s="8" t="s">
        <v>1886</v>
      </c>
      <c r="B331" s="9" t="s">
        <v>1927</v>
      </c>
      <c r="C331" s="4">
        <v>42992</v>
      </c>
      <c r="D331" s="4">
        <v>43525</v>
      </c>
      <c r="E331" t="s">
        <v>1928</v>
      </c>
      <c r="F331" s="9" t="s">
        <v>5</v>
      </c>
      <c r="G331" s="10">
        <v>80000</v>
      </c>
    </row>
    <row r="332" spans="1:7" x14ac:dyDescent="0.35">
      <c r="A332" s="8" t="s">
        <v>1533</v>
      </c>
      <c r="B332" s="9" t="s">
        <v>1534</v>
      </c>
      <c r="C332" s="4">
        <v>42992</v>
      </c>
      <c r="D332" s="4">
        <v>43433</v>
      </c>
      <c r="E332" t="s">
        <v>1535</v>
      </c>
      <c r="F332" s="9" t="s">
        <v>5</v>
      </c>
      <c r="G332" s="10">
        <v>14000</v>
      </c>
    </row>
    <row r="333" spans="1:7" x14ac:dyDescent="0.35">
      <c r="A333" s="8" t="s">
        <v>1886</v>
      </c>
      <c r="B333" s="9" t="s">
        <v>1935</v>
      </c>
      <c r="C333" s="4">
        <v>42992</v>
      </c>
      <c r="D333" s="4">
        <v>43959</v>
      </c>
      <c r="E333" t="s">
        <v>1936</v>
      </c>
      <c r="F333" s="9" t="s">
        <v>5</v>
      </c>
      <c r="G333" s="10">
        <v>80000</v>
      </c>
    </row>
    <row r="334" spans="1:7" x14ac:dyDescent="0.35">
      <c r="A334" s="8" t="s">
        <v>1886</v>
      </c>
      <c r="B334" s="9" t="s">
        <v>1899</v>
      </c>
      <c r="C334" s="4">
        <v>42992</v>
      </c>
      <c r="D334" s="4">
        <v>43530</v>
      </c>
      <c r="E334" t="s">
        <v>1900</v>
      </c>
      <c r="F334" s="9" t="s">
        <v>5</v>
      </c>
      <c r="G334" s="10">
        <v>50000</v>
      </c>
    </row>
    <row r="335" spans="1:7" x14ac:dyDescent="0.35">
      <c r="A335" s="8" t="s">
        <v>1133</v>
      </c>
      <c r="B335" s="9" t="s">
        <v>1134</v>
      </c>
      <c r="C335" s="4">
        <v>42992</v>
      </c>
      <c r="D335" s="4">
        <v>43343</v>
      </c>
      <c r="E335" t="s">
        <v>1135</v>
      </c>
      <c r="F335" s="9" t="s">
        <v>5</v>
      </c>
      <c r="G335" s="10">
        <v>975000</v>
      </c>
    </row>
    <row r="336" spans="1:7" x14ac:dyDescent="0.35">
      <c r="A336" s="8" t="s">
        <v>231</v>
      </c>
      <c r="B336" s="9" t="s">
        <v>232</v>
      </c>
      <c r="C336" s="4">
        <v>42992</v>
      </c>
      <c r="D336" s="4">
        <v>43109</v>
      </c>
      <c r="E336" t="s">
        <v>233</v>
      </c>
      <c r="F336" s="11" t="s">
        <v>4</v>
      </c>
      <c r="G336" s="10">
        <v>485000</v>
      </c>
    </row>
    <row r="337" spans="1:7" x14ac:dyDescent="0.35">
      <c r="A337" s="8" t="s">
        <v>1886</v>
      </c>
      <c r="B337" s="9" t="s">
        <v>1907</v>
      </c>
      <c r="C337" s="4">
        <v>42992</v>
      </c>
      <c r="D337" s="4">
        <v>43670</v>
      </c>
      <c r="E337" t="s">
        <v>1908</v>
      </c>
      <c r="F337" s="9" t="s">
        <v>5</v>
      </c>
      <c r="G337" s="10">
        <v>50000</v>
      </c>
    </row>
    <row r="338" spans="1:7" x14ac:dyDescent="0.35">
      <c r="A338" s="8" t="s">
        <v>1886</v>
      </c>
      <c r="B338" s="9" t="s">
        <v>1901</v>
      </c>
      <c r="C338" s="4">
        <v>42992</v>
      </c>
      <c r="D338" s="4">
        <v>43543</v>
      </c>
      <c r="E338" t="s">
        <v>1902</v>
      </c>
      <c r="F338" s="9" t="s">
        <v>5</v>
      </c>
      <c r="G338" s="10">
        <v>50000</v>
      </c>
    </row>
    <row r="339" spans="1:7" x14ac:dyDescent="0.35">
      <c r="A339" s="8" t="s">
        <v>1886</v>
      </c>
      <c r="B339" s="9" t="s">
        <v>1889</v>
      </c>
      <c r="C339" s="4">
        <v>42992</v>
      </c>
      <c r="D339" s="4">
        <v>43528</v>
      </c>
      <c r="E339" t="s">
        <v>1890</v>
      </c>
      <c r="F339" s="9" t="s">
        <v>5</v>
      </c>
      <c r="G339" s="10">
        <v>20000</v>
      </c>
    </row>
    <row r="340" spans="1:7" x14ac:dyDescent="0.35">
      <c r="A340" s="8" t="s">
        <v>1886</v>
      </c>
      <c r="B340" s="9" t="s">
        <v>1925</v>
      </c>
      <c r="C340" s="4">
        <v>42992</v>
      </c>
      <c r="D340" s="4">
        <v>43523</v>
      </c>
      <c r="E340" t="s">
        <v>1926</v>
      </c>
      <c r="F340" s="9" t="s">
        <v>5</v>
      </c>
      <c r="G340" s="10">
        <v>80000</v>
      </c>
    </row>
    <row r="341" spans="1:7" x14ac:dyDescent="0.35">
      <c r="A341" s="8" t="s">
        <v>1886</v>
      </c>
      <c r="B341" s="9" t="s">
        <v>1909</v>
      </c>
      <c r="C341" s="4">
        <v>42992</v>
      </c>
      <c r="D341" s="4">
        <v>43691</v>
      </c>
      <c r="E341" t="s">
        <v>1910</v>
      </c>
      <c r="F341" s="9" t="s">
        <v>5</v>
      </c>
      <c r="G341" s="10">
        <v>50000</v>
      </c>
    </row>
    <row r="342" spans="1:7" x14ac:dyDescent="0.35">
      <c r="A342" s="8" t="s">
        <v>1886</v>
      </c>
      <c r="B342" s="9" t="s">
        <v>1893</v>
      </c>
      <c r="C342" s="4">
        <v>42992</v>
      </c>
      <c r="D342" s="4">
        <v>43853</v>
      </c>
      <c r="E342" t="s">
        <v>1894</v>
      </c>
      <c r="F342" s="9" t="s">
        <v>5</v>
      </c>
      <c r="G342" s="10">
        <v>20000</v>
      </c>
    </row>
    <row r="343" spans="1:7" x14ac:dyDescent="0.35">
      <c r="A343" s="8" t="s">
        <v>239</v>
      </c>
      <c r="B343" s="9" t="s">
        <v>240</v>
      </c>
      <c r="C343" s="4">
        <v>42992</v>
      </c>
      <c r="D343" s="4">
        <v>43451</v>
      </c>
      <c r="E343" t="s">
        <v>241</v>
      </c>
      <c r="F343" s="11" t="s">
        <v>4</v>
      </c>
      <c r="G343" s="10">
        <v>64000</v>
      </c>
    </row>
    <row r="344" spans="1:7" x14ac:dyDescent="0.35">
      <c r="A344" s="8" t="s">
        <v>242</v>
      </c>
      <c r="B344" s="9" t="s">
        <v>243</v>
      </c>
      <c r="C344" s="4">
        <v>42992</v>
      </c>
      <c r="D344" s="4">
        <v>43451</v>
      </c>
      <c r="E344" t="s">
        <v>241</v>
      </c>
      <c r="F344" s="11" t="s">
        <v>4</v>
      </c>
      <c r="G344" s="10">
        <v>275000</v>
      </c>
    </row>
    <row r="345" spans="1:7" x14ac:dyDescent="0.35">
      <c r="A345" s="8" t="s">
        <v>1886</v>
      </c>
      <c r="B345" s="9" t="s">
        <v>1923</v>
      </c>
      <c r="C345" s="4">
        <v>42992</v>
      </c>
      <c r="D345" s="4">
        <v>44074</v>
      </c>
      <c r="E345" t="s">
        <v>1924</v>
      </c>
      <c r="F345" s="9" t="s">
        <v>5</v>
      </c>
      <c r="G345" s="10">
        <v>50000</v>
      </c>
    </row>
    <row r="346" spans="1:7" x14ac:dyDescent="0.35">
      <c r="A346" s="8" t="s">
        <v>252</v>
      </c>
      <c r="B346" s="9" t="s">
        <v>2569</v>
      </c>
      <c r="C346" s="4">
        <v>42992</v>
      </c>
      <c r="D346" s="4"/>
      <c r="E346" t="s">
        <v>2512</v>
      </c>
      <c r="F346" s="11" t="s">
        <v>4</v>
      </c>
      <c r="G346" s="10">
        <v>300600</v>
      </c>
    </row>
    <row r="347" spans="1:7" x14ac:dyDescent="0.35">
      <c r="A347" s="8" t="s">
        <v>1886</v>
      </c>
      <c r="B347" s="9" t="s">
        <v>1943</v>
      </c>
      <c r="C347" s="4">
        <v>42992</v>
      </c>
      <c r="D347" s="4">
        <v>43532</v>
      </c>
      <c r="E347" t="s">
        <v>1944</v>
      </c>
      <c r="F347" s="9" t="s">
        <v>5</v>
      </c>
      <c r="G347" s="10">
        <v>100000</v>
      </c>
    </row>
    <row r="348" spans="1:7" x14ac:dyDescent="0.35">
      <c r="A348" s="8" t="s">
        <v>1886</v>
      </c>
      <c r="B348" s="9" t="s">
        <v>1897</v>
      </c>
      <c r="C348" s="4">
        <v>42992</v>
      </c>
      <c r="D348" s="4">
        <v>43525</v>
      </c>
      <c r="E348" t="s">
        <v>1898</v>
      </c>
      <c r="F348" s="9" t="s">
        <v>5</v>
      </c>
      <c r="G348" s="10">
        <v>50000</v>
      </c>
    </row>
    <row r="349" spans="1:7" x14ac:dyDescent="0.35">
      <c r="A349" s="8" t="s">
        <v>1886</v>
      </c>
      <c r="B349" s="9" t="s">
        <v>1895</v>
      </c>
      <c r="C349" s="4">
        <v>42992</v>
      </c>
      <c r="D349" s="4">
        <v>43999</v>
      </c>
      <c r="E349" t="s">
        <v>1896</v>
      </c>
      <c r="F349" s="9" t="s">
        <v>5</v>
      </c>
      <c r="G349" s="10">
        <v>20000</v>
      </c>
    </row>
    <row r="350" spans="1:7" x14ac:dyDescent="0.35">
      <c r="A350" s="8" t="s">
        <v>1886</v>
      </c>
      <c r="B350" s="9" t="s">
        <v>1939</v>
      </c>
      <c r="C350" s="4">
        <v>42992</v>
      </c>
      <c r="D350" s="4">
        <v>43525</v>
      </c>
      <c r="E350" t="s">
        <v>1940</v>
      </c>
      <c r="F350" s="9" t="s">
        <v>5</v>
      </c>
      <c r="G350" s="10">
        <v>100000</v>
      </c>
    </row>
    <row r="351" spans="1:7" x14ac:dyDescent="0.35">
      <c r="A351" s="8" t="s">
        <v>1886</v>
      </c>
      <c r="B351" s="9" t="s">
        <v>1887</v>
      </c>
      <c r="C351" s="4">
        <v>42992</v>
      </c>
      <c r="D351" s="4">
        <v>44022</v>
      </c>
      <c r="E351" t="s">
        <v>1888</v>
      </c>
      <c r="F351" s="9" t="s">
        <v>5</v>
      </c>
      <c r="G351" s="10">
        <v>2000</v>
      </c>
    </row>
    <row r="352" spans="1:7" x14ac:dyDescent="0.35">
      <c r="A352" s="8" t="s">
        <v>1886</v>
      </c>
      <c r="B352" s="9" t="s">
        <v>1891</v>
      </c>
      <c r="C352" s="4">
        <v>42992</v>
      </c>
      <c r="D352" s="4">
        <v>43781</v>
      </c>
      <c r="E352" t="s">
        <v>1892</v>
      </c>
      <c r="F352" s="9" t="s">
        <v>5</v>
      </c>
      <c r="G352" s="10">
        <v>20000</v>
      </c>
    </row>
    <row r="353" spans="1:7" x14ac:dyDescent="0.35">
      <c r="A353" s="8" t="s">
        <v>1886</v>
      </c>
      <c r="B353" s="9" t="s">
        <v>1933</v>
      </c>
      <c r="C353" s="4">
        <v>42992</v>
      </c>
      <c r="D353" s="4">
        <v>43551</v>
      </c>
      <c r="E353" t="s">
        <v>1934</v>
      </c>
      <c r="F353" s="9" t="s">
        <v>5</v>
      </c>
      <c r="G353" s="10">
        <v>80000</v>
      </c>
    </row>
    <row r="354" spans="1:7" x14ac:dyDescent="0.35">
      <c r="A354" s="8" t="s">
        <v>1886</v>
      </c>
      <c r="B354" s="9" t="s">
        <v>1903</v>
      </c>
      <c r="C354" s="4">
        <v>42992</v>
      </c>
      <c r="D354" s="4">
        <v>43572</v>
      </c>
      <c r="E354" t="s">
        <v>1904</v>
      </c>
      <c r="F354" s="9" t="s">
        <v>5</v>
      </c>
      <c r="G354" s="10">
        <v>50000</v>
      </c>
    </row>
    <row r="355" spans="1:7" x14ac:dyDescent="0.35">
      <c r="A355" s="8" t="s">
        <v>1886</v>
      </c>
      <c r="B355" s="9" t="s">
        <v>1917</v>
      </c>
      <c r="C355" s="4">
        <v>42992</v>
      </c>
      <c r="D355" s="4">
        <v>43889</v>
      </c>
      <c r="E355" t="s">
        <v>1918</v>
      </c>
      <c r="F355" s="9" t="s">
        <v>5</v>
      </c>
      <c r="G355" s="10">
        <v>50000</v>
      </c>
    </row>
    <row r="356" spans="1:7" x14ac:dyDescent="0.35">
      <c r="A356" s="8" t="s">
        <v>1886</v>
      </c>
      <c r="B356" s="9" t="s">
        <v>1941</v>
      </c>
      <c r="C356" s="4">
        <v>42992</v>
      </c>
      <c r="D356" s="4">
        <v>43530</v>
      </c>
      <c r="E356" t="s">
        <v>1942</v>
      </c>
      <c r="F356" s="9" t="s">
        <v>5</v>
      </c>
      <c r="G356" s="10">
        <v>100000</v>
      </c>
    </row>
    <row r="357" spans="1:7" x14ac:dyDescent="0.35">
      <c r="A357" s="8" t="s">
        <v>1886</v>
      </c>
      <c r="B357" s="9" t="s">
        <v>1945</v>
      </c>
      <c r="C357" s="4">
        <v>42992</v>
      </c>
      <c r="D357" s="4">
        <v>43619</v>
      </c>
      <c r="E357" t="s">
        <v>1946</v>
      </c>
      <c r="F357" s="9" t="s">
        <v>5</v>
      </c>
      <c r="G357" s="10">
        <v>100000</v>
      </c>
    </row>
    <row r="358" spans="1:7" x14ac:dyDescent="0.35">
      <c r="A358" s="8" t="s">
        <v>1886</v>
      </c>
      <c r="B358" s="9" t="s">
        <v>1937</v>
      </c>
      <c r="C358" s="4">
        <v>42992</v>
      </c>
      <c r="D358" s="4">
        <v>43523</v>
      </c>
      <c r="E358" t="s">
        <v>1938</v>
      </c>
      <c r="F358" s="9" t="s">
        <v>5</v>
      </c>
      <c r="G358" s="10">
        <v>100000</v>
      </c>
    </row>
    <row r="359" spans="1:7" x14ac:dyDescent="0.35">
      <c r="A359" s="8" t="s">
        <v>1886</v>
      </c>
      <c r="B359" s="9" t="s">
        <v>1913</v>
      </c>
      <c r="C359" s="4">
        <v>42992</v>
      </c>
      <c r="D359" s="4">
        <v>43781</v>
      </c>
      <c r="E359" t="s">
        <v>1914</v>
      </c>
      <c r="F359" s="9" t="s">
        <v>5</v>
      </c>
      <c r="G359" s="10">
        <v>50000</v>
      </c>
    </row>
    <row r="360" spans="1:7" x14ac:dyDescent="0.35">
      <c r="A360" s="8" t="s">
        <v>1886</v>
      </c>
      <c r="B360" s="9" t="s">
        <v>1919</v>
      </c>
      <c r="C360" s="4">
        <v>42992</v>
      </c>
      <c r="D360" s="4">
        <v>43978</v>
      </c>
      <c r="E360" t="s">
        <v>1920</v>
      </c>
      <c r="F360" s="9" t="s">
        <v>5</v>
      </c>
      <c r="G360" s="10">
        <v>50000</v>
      </c>
    </row>
    <row r="361" spans="1:7" x14ac:dyDescent="0.35">
      <c r="A361" s="8" t="s">
        <v>1886</v>
      </c>
      <c r="B361" s="9" t="s">
        <v>1911</v>
      </c>
      <c r="C361" s="4">
        <v>42992</v>
      </c>
      <c r="D361" s="4">
        <v>43777</v>
      </c>
      <c r="E361" t="s">
        <v>1912</v>
      </c>
      <c r="F361" s="9" t="s">
        <v>5</v>
      </c>
      <c r="G361" s="10">
        <v>50000</v>
      </c>
    </row>
    <row r="362" spans="1:7" x14ac:dyDescent="0.35">
      <c r="A362" s="8" t="s">
        <v>1528</v>
      </c>
      <c r="B362" s="9" t="s">
        <v>1529</v>
      </c>
      <c r="C362" s="4">
        <v>42993</v>
      </c>
      <c r="D362" s="4">
        <v>43299</v>
      </c>
      <c r="E362" t="s">
        <v>1530</v>
      </c>
      <c r="F362" s="9" t="s">
        <v>5</v>
      </c>
      <c r="G362" s="10">
        <v>9000</v>
      </c>
    </row>
    <row r="363" spans="1:7" x14ac:dyDescent="0.35">
      <c r="A363" s="8" t="s">
        <v>1486</v>
      </c>
      <c r="B363" s="9" t="s">
        <v>2569</v>
      </c>
      <c r="C363" s="4">
        <v>42996</v>
      </c>
      <c r="D363" s="4"/>
      <c r="E363" t="s">
        <v>1487</v>
      </c>
      <c r="F363" s="9" t="s">
        <v>5</v>
      </c>
      <c r="G363" s="10">
        <v>14400</v>
      </c>
    </row>
    <row r="364" spans="1:7" x14ac:dyDescent="0.35">
      <c r="A364" s="8" t="s">
        <v>1310</v>
      </c>
      <c r="B364" s="9" t="s">
        <v>1311</v>
      </c>
      <c r="C364" s="4">
        <v>43031</v>
      </c>
      <c r="D364" s="4">
        <v>43055</v>
      </c>
      <c r="E364" t="s">
        <v>1312</v>
      </c>
      <c r="F364" s="9" t="s">
        <v>5</v>
      </c>
      <c r="G364" s="10">
        <v>25000</v>
      </c>
    </row>
    <row r="365" spans="1:7" x14ac:dyDescent="0.35">
      <c r="A365" s="8" t="s">
        <v>1313</v>
      </c>
      <c r="B365" s="9" t="s">
        <v>1314</v>
      </c>
      <c r="C365" s="4">
        <v>43031</v>
      </c>
      <c r="D365" s="4">
        <v>43054</v>
      </c>
      <c r="E365" t="s">
        <v>1315</v>
      </c>
      <c r="F365" s="9" t="s">
        <v>5</v>
      </c>
      <c r="G365" s="10">
        <v>25000</v>
      </c>
    </row>
    <row r="366" spans="1:7" x14ac:dyDescent="0.35">
      <c r="A366" s="8" t="s">
        <v>1322</v>
      </c>
      <c r="B366" s="9" t="s">
        <v>1323</v>
      </c>
      <c r="C366" s="4">
        <v>43033</v>
      </c>
      <c r="D366" s="4">
        <v>43055</v>
      </c>
      <c r="E366" t="s">
        <v>1324</v>
      </c>
      <c r="F366" s="9" t="s">
        <v>5</v>
      </c>
      <c r="G366" s="10">
        <v>120000</v>
      </c>
    </row>
    <row r="367" spans="1:7" x14ac:dyDescent="0.35">
      <c r="A367" s="8" t="s">
        <v>1316</v>
      </c>
      <c r="B367" s="9" t="s">
        <v>1317</v>
      </c>
      <c r="C367" s="4">
        <v>43033</v>
      </c>
      <c r="D367" s="4">
        <v>43054</v>
      </c>
      <c r="E367" t="s">
        <v>1318</v>
      </c>
      <c r="F367" s="9" t="s">
        <v>5</v>
      </c>
      <c r="G367" s="10">
        <v>25000</v>
      </c>
    </row>
    <row r="368" spans="1:7" x14ac:dyDescent="0.35">
      <c r="A368" s="8" t="s">
        <v>1325</v>
      </c>
      <c r="B368" s="9" t="s">
        <v>1326</v>
      </c>
      <c r="C368" s="4">
        <v>43033</v>
      </c>
      <c r="D368" s="4">
        <v>43068</v>
      </c>
      <c r="E368" t="s">
        <v>147</v>
      </c>
      <c r="F368" s="9" t="s">
        <v>5</v>
      </c>
      <c r="G368" s="10">
        <v>50000</v>
      </c>
    </row>
    <row r="369" spans="1:7" x14ac:dyDescent="0.35">
      <c r="A369" s="8" t="s">
        <v>1319</v>
      </c>
      <c r="B369" s="9" t="s">
        <v>1320</v>
      </c>
      <c r="C369" s="4">
        <v>43033</v>
      </c>
      <c r="D369" s="4">
        <v>43055</v>
      </c>
      <c r="E369" t="s">
        <v>1321</v>
      </c>
      <c r="F369" s="9" t="s">
        <v>5</v>
      </c>
      <c r="G369" s="10">
        <v>25000</v>
      </c>
    </row>
    <row r="370" spans="1:7" x14ac:dyDescent="0.35">
      <c r="A370" s="8" t="s">
        <v>1330</v>
      </c>
      <c r="B370" s="9" t="s">
        <v>1331</v>
      </c>
      <c r="C370" s="4">
        <v>43034</v>
      </c>
      <c r="D370" s="4">
        <v>43068</v>
      </c>
      <c r="E370" t="s">
        <v>1332</v>
      </c>
      <c r="F370" s="9" t="s">
        <v>5</v>
      </c>
      <c r="G370" s="10">
        <v>25000</v>
      </c>
    </row>
    <row r="371" spans="1:7" x14ac:dyDescent="0.35">
      <c r="A371" s="8" t="s">
        <v>1327</v>
      </c>
      <c r="B371" s="9" t="s">
        <v>1328</v>
      </c>
      <c r="C371" s="4">
        <v>43034</v>
      </c>
      <c r="D371" s="4">
        <v>43055</v>
      </c>
      <c r="E371" t="s">
        <v>1329</v>
      </c>
      <c r="F371" s="9" t="s">
        <v>5</v>
      </c>
      <c r="G371" s="10">
        <v>25000</v>
      </c>
    </row>
    <row r="372" spans="1:7" x14ac:dyDescent="0.35">
      <c r="A372" s="8" t="s">
        <v>1339</v>
      </c>
      <c r="B372" s="9" t="s">
        <v>1340</v>
      </c>
      <c r="C372" s="4">
        <v>43039</v>
      </c>
      <c r="D372" s="4">
        <v>43055</v>
      </c>
      <c r="E372" t="s">
        <v>1287</v>
      </c>
      <c r="F372" s="9" t="s">
        <v>5</v>
      </c>
      <c r="G372" s="10">
        <v>25000</v>
      </c>
    </row>
    <row r="373" spans="1:7" x14ac:dyDescent="0.35">
      <c r="A373" s="8" t="s">
        <v>1347</v>
      </c>
      <c r="B373" s="9" t="s">
        <v>1348</v>
      </c>
      <c r="C373" s="4">
        <v>43039</v>
      </c>
      <c r="D373" s="4">
        <v>43098</v>
      </c>
      <c r="E373" t="s">
        <v>1349</v>
      </c>
      <c r="F373" s="9" t="s">
        <v>5</v>
      </c>
      <c r="G373" s="10">
        <v>58717</v>
      </c>
    </row>
    <row r="374" spans="1:7" x14ac:dyDescent="0.35">
      <c r="A374" s="8" t="s">
        <v>1344</v>
      </c>
      <c r="B374" s="9" t="s">
        <v>1345</v>
      </c>
      <c r="C374" s="4">
        <v>43039</v>
      </c>
      <c r="D374" s="4">
        <v>43084</v>
      </c>
      <c r="E374" t="s">
        <v>1346</v>
      </c>
      <c r="F374" s="9" t="s">
        <v>5</v>
      </c>
      <c r="G374" s="10">
        <v>50000</v>
      </c>
    </row>
    <row r="375" spans="1:7" x14ac:dyDescent="0.35">
      <c r="A375" s="8" t="s">
        <v>1336</v>
      </c>
      <c r="B375" s="9" t="s">
        <v>1337</v>
      </c>
      <c r="C375" s="4">
        <v>43039</v>
      </c>
      <c r="D375" s="4">
        <v>43055</v>
      </c>
      <c r="E375" t="s">
        <v>1338</v>
      </c>
      <c r="F375" s="9" t="s">
        <v>5</v>
      </c>
      <c r="G375" s="10">
        <v>25000</v>
      </c>
    </row>
    <row r="376" spans="1:7" x14ac:dyDescent="0.35">
      <c r="A376" s="8" t="s">
        <v>1341</v>
      </c>
      <c r="B376" s="9" t="s">
        <v>1342</v>
      </c>
      <c r="C376" s="4">
        <v>43039</v>
      </c>
      <c r="D376" s="4">
        <v>43054</v>
      </c>
      <c r="E376" t="s">
        <v>1343</v>
      </c>
      <c r="F376" s="9" t="s">
        <v>5</v>
      </c>
      <c r="G376" s="10">
        <v>2229</v>
      </c>
    </row>
    <row r="377" spans="1:7" x14ac:dyDescent="0.35">
      <c r="A377" s="8" t="s">
        <v>1333</v>
      </c>
      <c r="B377" s="9" t="s">
        <v>1334</v>
      </c>
      <c r="C377" s="4">
        <v>43039</v>
      </c>
      <c r="D377" s="4">
        <v>43084</v>
      </c>
      <c r="E377" t="s">
        <v>1335</v>
      </c>
      <c r="F377" s="9" t="s">
        <v>5</v>
      </c>
      <c r="G377" s="10">
        <v>35000</v>
      </c>
    </row>
    <row r="378" spans="1:7" x14ac:dyDescent="0.35">
      <c r="A378" s="8" t="s">
        <v>1350</v>
      </c>
      <c r="B378" s="9" t="s">
        <v>1351</v>
      </c>
      <c r="C378" s="4">
        <v>43040</v>
      </c>
      <c r="D378" s="4">
        <v>43096</v>
      </c>
      <c r="E378" t="s">
        <v>1352</v>
      </c>
      <c r="F378" s="9" t="s">
        <v>5</v>
      </c>
      <c r="G378" s="10">
        <v>25000</v>
      </c>
    </row>
    <row r="379" spans="1:7" x14ac:dyDescent="0.35">
      <c r="A379" s="8" t="s">
        <v>1358</v>
      </c>
      <c r="B379" s="9" t="s">
        <v>1359</v>
      </c>
      <c r="C379" s="4">
        <v>43042</v>
      </c>
      <c r="D379" s="4">
        <v>43096</v>
      </c>
      <c r="E379" t="s">
        <v>141</v>
      </c>
      <c r="F379" s="9" t="s">
        <v>5</v>
      </c>
      <c r="G379" s="10">
        <v>25000</v>
      </c>
    </row>
    <row r="380" spans="1:7" x14ac:dyDescent="0.35">
      <c r="A380" s="8" t="s">
        <v>1353</v>
      </c>
      <c r="B380" s="9" t="s">
        <v>1354</v>
      </c>
      <c r="C380" s="4">
        <v>43042</v>
      </c>
      <c r="D380" s="4">
        <v>43087</v>
      </c>
      <c r="E380" t="s">
        <v>1285</v>
      </c>
      <c r="F380" s="9" t="s">
        <v>5</v>
      </c>
      <c r="G380" s="10">
        <v>25000</v>
      </c>
    </row>
    <row r="381" spans="1:7" x14ac:dyDescent="0.35">
      <c r="A381" s="8" t="s">
        <v>1360</v>
      </c>
      <c r="B381" s="9" t="s">
        <v>1361</v>
      </c>
      <c r="C381" s="4">
        <v>43042</v>
      </c>
      <c r="D381" s="4">
        <v>43055</v>
      </c>
      <c r="E381" t="s">
        <v>1362</v>
      </c>
      <c r="F381" s="9" t="s">
        <v>5</v>
      </c>
      <c r="G381" s="10">
        <v>24500</v>
      </c>
    </row>
    <row r="382" spans="1:7" x14ac:dyDescent="0.35">
      <c r="A382" s="8" t="s">
        <v>1355</v>
      </c>
      <c r="B382" s="9" t="s">
        <v>1356</v>
      </c>
      <c r="C382" s="4">
        <v>43042</v>
      </c>
      <c r="D382" s="4">
        <v>43068</v>
      </c>
      <c r="E382" t="s">
        <v>1357</v>
      </c>
      <c r="F382" s="9" t="s">
        <v>5</v>
      </c>
      <c r="G382" s="10">
        <v>17950</v>
      </c>
    </row>
    <row r="383" spans="1:7" x14ac:dyDescent="0.35">
      <c r="A383" s="8" t="s">
        <v>1363</v>
      </c>
      <c r="B383" s="9" t="s">
        <v>1364</v>
      </c>
      <c r="C383" s="4">
        <v>43046</v>
      </c>
      <c r="D383" s="4">
        <v>43055</v>
      </c>
      <c r="E383" t="s">
        <v>1365</v>
      </c>
      <c r="F383" s="9" t="s">
        <v>5</v>
      </c>
      <c r="G383" s="10">
        <v>25000</v>
      </c>
    </row>
    <row r="384" spans="1:7" x14ac:dyDescent="0.35">
      <c r="A384" s="8" t="s">
        <v>1368</v>
      </c>
      <c r="B384" s="9" t="s">
        <v>1369</v>
      </c>
      <c r="C384" s="4">
        <v>43046</v>
      </c>
      <c r="D384" s="4">
        <v>43075</v>
      </c>
      <c r="E384" t="s">
        <v>1370</v>
      </c>
      <c r="F384" s="9" t="s">
        <v>5</v>
      </c>
      <c r="G384" s="10">
        <v>23505</v>
      </c>
    </row>
    <row r="385" spans="1:7" x14ac:dyDescent="0.35">
      <c r="A385" s="8" t="s">
        <v>1374</v>
      </c>
      <c r="B385" s="9" t="s">
        <v>1375</v>
      </c>
      <c r="C385" s="4">
        <v>43046</v>
      </c>
      <c r="D385" s="4">
        <v>43054</v>
      </c>
      <c r="E385" t="s">
        <v>1376</v>
      </c>
      <c r="F385" s="9" t="s">
        <v>5</v>
      </c>
      <c r="G385" s="10">
        <v>25000</v>
      </c>
    </row>
    <row r="386" spans="1:7" x14ac:dyDescent="0.35">
      <c r="A386" s="8" t="s">
        <v>1371</v>
      </c>
      <c r="B386" s="9" t="s">
        <v>1372</v>
      </c>
      <c r="C386" s="4">
        <v>43046</v>
      </c>
      <c r="D386" s="4">
        <v>43097</v>
      </c>
      <c r="E386" t="s">
        <v>1373</v>
      </c>
      <c r="F386" s="9" t="s">
        <v>5</v>
      </c>
      <c r="G386" s="10">
        <v>25000</v>
      </c>
    </row>
    <row r="387" spans="1:7" x14ac:dyDescent="0.35">
      <c r="A387" s="8" t="s">
        <v>1366</v>
      </c>
      <c r="B387" s="9" t="s">
        <v>1367</v>
      </c>
      <c r="C387" s="4">
        <v>43046</v>
      </c>
      <c r="D387" s="4">
        <v>43068</v>
      </c>
      <c r="E387" t="s">
        <v>150</v>
      </c>
      <c r="F387" s="9" t="s">
        <v>5</v>
      </c>
      <c r="G387" s="10">
        <v>25000</v>
      </c>
    </row>
    <row r="388" spans="1:7" x14ac:dyDescent="0.35">
      <c r="A388" s="8" t="s">
        <v>221</v>
      </c>
      <c r="B388" s="9" t="s">
        <v>2569</v>
      </c>
      <c r="C388" s="4">
        <v>43047</v>
      </c>
      <c r="D388" s="4"/>
      <c r="E388" t="s">
        <v>2544</v>
      </c>
      <c r="F388" s="11" t="s">
        <v>4</v>
      </c>
      <c r="G388" s="10">
        <v>16508622.82</v>
      </c>
    </row>
    <row r="389" spans="1:7" x14ac:dyDescent="0.35">
      <c r="A389" s="8" t="s">
        <v>1379</v>
      </c>
      <c r="B389" s="9" t="s">
        <v>1380</v>
      </c>
      <c r="C389" s="4">
        <v>43047</v>
      </c>
      <c r="D389" s="4">
        <v>43069</v>
      </c>
      <c r="E389" t="s">
        <v>1381</v>
      </c>
      <c r="F389" s="9" t="s">
        <v>5</v>
      </c>
      <c r="G389" s="10">
        <v>8299</v>
      </c>
    </row>
    <row r="390" spans="1:7" x14ac:dyDescent="0.35">
      <c r="A390" s="8" t="s">
        <v>1377</v>
      </c>
      <c r="B390" s="9" t="s">
        <v>1378</v>
      </c>
      <c r="C390" s="4">
        <v>43047</v>
      </c>
      <c r="D390" s="4">
        <v>43090</v>
      </c>
      <c r="E390" t="s">
        <v>1297</v>
      </c>
      <c r="F390" s="9" t="s">
        <v>5</v>
      </c>
      <c r="G390" s="10">
        <v>25000</v>
      </c>
    </row>
    <row r="391" spans="1:7" x14ac:dyDescent="0.35">
      <c r="A391" s="8" t="s">
        <v>1382</v>
      </c>
      <c r="B391" s="9" t="s">
        <v>1383</v>
      </c>
      <c r="C391" s="4">
        <v>43047</v>
      </c>
      <c r="D391" s="4">
        <v>43090</v>
      </c>
      <c r="E391" t="s">
        <v>1384</v>
      </c>
      <c r="F391" s="9" t="s">
        <v>5</v>
      </c>
      <c r="G391" s="10">
        <v>25000</v>
      </c>
    </row>
    <row r="392" spans="1:7" x14ac:dyDescent="0.35">
      <c r="A392" s="8" t="s">
        <v>1391</v>
      </c>
      <c r="B392" s="9" t="s">
        <v>1392</v>
      </c>
      <c r="C392" s="4">
        <v>43067</v>
      </c>
      <c r="D392" s="4">
        <v>43091</v>
      </c>
      <c r="E392" t="s">
        <v>1393</v>
      </c>
      <c r="F392" s="9" t="s">
        <v>5</v>
      </c>
      <c r="G392" s="10">
        <v>25000</v>
      </c>
    </row>
    <row r="393" spans="1:7" x14ac:dyDescent="0.35">
      <c r="A393" s="8" t="s">
        <v>1394</v>
      </c>
      <c r="B393" s="9" t="s">
        <v>1395</v>
      </c>
      <c r="C393" s="4">
        <v>43067</v>
      </c>
      <c r="D393" s="4">
        <v>43085</v>
      </c>
      <c r="E393" t="s">
        <v>1396</v>
      </c>
      <c r="F393" s="9" t="s">
        <v>5</v>
      </c>
      <c r="G393" s="10">
        <v>4797</v>
      </c>
    </row>
    <row r="394" spans="1:7" x14ac:dyDescent="0.35">
      <c r="A394" s="8" t="s">
        <v>1406</v>
      </c>
      <c r="B394" s="9" t="s">
        <v>1407</v>
      </c>
      <c r="C394" s="4">
        <v>43067</v>
      </c>
      <c r="D394" s="4">
        <v>43090</v>
      </c>
      <c r="E394" t="s">
        <v>1408</v>
      </c>
      <c r="F394" s="9" t="s">
        <v>5</v>
      </c>
      <c r="G394" s="10">
        <v>21000</v>
      </c>
    </row>
    <row r="395" spans="1:7" x14ac:dyDescent="0.35">
      <c r="A395" s="8" t="s">
        <v>1385</v>
      </c>
      <c r="B395" s="9" t="s">
        <v>1386</v>
      </c>
      <c r="C395" s="4">
        <v>43067</v>
      </c>
      <c r="D395" s="4">
        <v>43090</v>
      </c>
      <c r="E395" t="s">
        <v>1387</v>
      </c>
      <c r="F395" s="9" t="s">
        <v>5</v>
      </c>
      <c r="G395" s="10">
        <v>17000</v>
      </c>
    </row>
    <row r="396" spans="1:7" x14ac:dyDescent="0.35">
      <c r="A396" s="8" t="s">
        <v>1388</v>
      </c>
      <c r="B396" s="9" t="s">
        <v>1389</v>
      </c>
      <c r="C396" s="4">
        <v>43067</v>
      </c>
      <c r="D396" s="4">
        <v>43090</v>
      </c>
      <c r="E396" t="s">
        <v>1390</v>
      </c>
      <c r="F396" s="9" t="s">
        <v>5</v>
      </c>
      <c r="G396" s="10">
        <v>25000</v>
      </c>
    </row>
    <row r="397" spans="1:7" x14ac:dyDescent="0.35">
      <c r="A397" s="8" t="s">
        <v>1403</v>
      </c>
      <c r="B397" s="9" t="s">
        <v>1404</v>
      </c>
      <c r="C397" s="4">
        <v>43067</v>
      </c>
      <c r="D397" s="4">
        <v>43087</v>
      </c>
      <c r="E397" t="s">
        <v>1405</v>
      </c>
      <c r="F397" s="9" t="s">
        <v>5</v>
      </c>
      <c r="G397" s="10">
        <v>25000</v>
      </c>
    </row>
    <row r="398" spans="1:7" x14ac:dyDescent="0.35">
      <c r="A398" s="8" t="s">
        <v>1400</v>
      </c>
      <c r="B398" s="9" t="s">
        <v>1401</v>
      </c>
      <c r="C398" s="4">
        <v>43067</v>
      </c>
      <c r="D398" s="4">
        <v>43090</v>
      </c>
      <c r="E398" t="s">
        <v>1402</v>
      </c>
      <c r="F398" s="9" t="s">
        <v>5</v>
      </c>
      <c r="G398" s="10">
        <v>14100</v>
      </c>
    </row>
    <row r="399" spans="1:7" x14ac:dyDescent="0.35">
      <c r="A399" s="8" t="s">
        <v>1397</v>
      </c>
      <c r="B399" s="9" t="s">
        <v>1398</v>
      </c>
      <c r="C399" s="4">
        <v>43067</v>
      </c>
      <c r="D399" s="4">
        <v>43090</v>
      </c>
      <c r="E399" t="s">
        <v>1399</v>
      </c>
      <c r="F399" s="9" t="s">
        <v>5</v>
      </c>
      <c r="G399" s="10">
        <v>10000</v>
      </c>
    </row>
    <row r="400" spans="1:7" x14ac:dyDescent="0.35">
      <c r="A400" s="8" t="s">
        <v>1415</v>
      </c>
      <c r="B400" s="9" t="s">
        <v>1416</v>
      </c>
      <c r="C400" s="4">
        <v>43068</v>
      </c>
      <c r="D400" s="4">
        <v>43091</v>
      </c>
      <c r="E400" t="s">
        <v>1417</v>
      </c>
      <c r="F400" s="9" t="s">
        <v>5</v>
      </c>
      <c r="G400" s="10">
        <v>18535.310000000001</v>
      </c>
    </row>
    <row r="401" spans="1:7" x14ac:dyDescent="0.35">
      <c r="A401" s="8" t="s">
        <v>1409</v>
      </c>
      <c r="B401" s="9" t="s">
        <v>1410</v>
      </c>
      <c r="C401" s="4">
        <v>43068</v>
      </c>
      <c r="D401" s="4">
        <v>43090</v>
      </c>
      <c r="E401" t="s">
        <v>1411</v>
      </c>
      <c r="F401" s="9" t="s">
        <v>5</v>
      </c>
      <c r="G401" s="10">
        <v>25000</v>
      </c>
    </row>
    <row r="402" spans="1:7" x14ac:dyDescent="0.35">
      <c r="A402" s="8" t="s">
        <v>1412</v>
      </c>
      <c r="B402" s="9" t="s">
        <v>1413</v>
      </c>
      <c r="C402" s="4">
        <v>43068</v>
      </c>
      <c r="D402" s="4">
        <v>43090</v>
      </c>
      <c r="E402" t="s">
        <v>1414</v>
      </c>
      <c r="F402" s="9" t="s">
        <v>5</v>
      </c>
      <c r="G402" s="10">
        <v>18000</v>
      </c>
    </row>
    <row r="403" spans="1:7" x14ac:dyDescent="0.35">
      <c r="A403" s="8" t="s">
        <v>1418</v>
      </c>
      <c r="B403" s="9" t="s">
        <v>1419</v>
      </c>
      <c r="C403" s="4">
        <v>43069</v>
      </c>
      <c r="D403" s="4">
        <v>43097</v>
      </c>
      <c r="E403" t="s">
        <v>1420</v>
      </c>
      <c r="F403" s="9" t="s">
        <v>5</v>
      </c>
      <c r="G403" s="10">
        <v>25000</v>
      </c>
    </row>
    <row r="404" spans="1:7" x14ac:dyDescent="0.35">
      <c r="A404" s="8" t="s">
        <v>1424</v>
      </c>
      <c r="B404" s="9" t="s">
        <v>1425</v>
      </c>
      <c r="C404" s="4">
        <v>43069</v>
      </c>
      <c r="D404" s="4">
        <v>43091</v>
      </c>
      <c r="E404" t="s">
        <v>1305</v>
      </c>
      <c r="F404" s="9" t="s">
        <v>5</v>
      </c>
      <c r="G404" s="10">
        <v>25000</v>
      </c>
    </row>
    <row r="405" spans="1:7" x14ac:dyDescent="0.35">
      <c r="A405" s="8" t="s">
        <v>1421</v>
      </c>
      <c r="B405" s="9" t="s">
        <v>1422</v>
      </c>
      <c r="C405" s="4">
        <v>43069</v>
      </c>
      <c r="D405" s="4">
        <v>43084</v>
      </c>
      <c r="E405" t="s">
        <v>1423</v>
      </c>
      <c r="F405" s="9" t="s">
        <v>5</v>
      </c>
      <c r="G405" s="10">
        <v>25000</v>
      </c>
    </row>
    <row r="406" spans="1:7" x14ac:dyDescent="0.35">
      <c r="A406" s="8" t="s">
        <v>1426</v>
      </c>
      <c r="B406" s="9" t="s">
        <v>1427</v>
      </c>
      <c r="C406" s="4">
        <v>43069</v>
      </c>
      <c r="D406" s="4">
        <v>43097</v>
      </c>
      <c r="E406" t="s">
        <v>1428</v>
      </c>
      <c r="F406" s="9" t="s">
        <v>5</v>
      </c>
      <c r="G406" s="10">
        <v>17750</v>
      </c>
    </row>
    <row r="407" spans="1:7" x14ac:dyDescent="0.35">
      <c r="A407" s="8" t="s">
        <v>1429</v>
      </c>
      <c r="B407" s="9" t="s">
        <v>1430</v>
      </c>
      <c r="C407" s="4">
        <v>43070</v>
      </c>
      <c r="D407" s="4">
        <v>43098</v>
      </c>
      <c r="E407" t="s">
        <v>1431</v>
      </c>
      <c r="F407" s="9" t="s">
        <v>5</v>
      </c>
      <c r="G407" s="10">
        <v>14100</v>
      </c>
    </row>
    <row r="408" spans="1:7" x14ac:dyDescent="0.35">
      <c r="A408" s="8" t="s">
        <v>1432</v>
      </c>
      <c r="B408" s="9" t="s">
        <v>1433</v>
      </c>
      <c r="C408" s="4">
        <v>43070</v>
      </c>
      <c r="D408" s="4">
        <v>43082</v>
      </c>
      <c r="E408" t="s">
        <v>1434</v>
      </c>
      <c r="F408" s="9" t="s">
        <v>5</v>
      </c>
      <c r="G408" s="10">
        <v>17050</v>
      </c>
    </row>
    <row r="409" spans="1:7" x14ac:dyDescent="0.35">
      <c r="A409" s="8" t="s">
        <v>1435</v>
      </c>
      <c r="B409" s="9" t="s">
        <v>1436</v>
      </c>
      <c r="C409" s="4">
        <v>43070</v>
      </c>
      <c r="D409" s="4">
        <v>43097</v>
      </c>
      <c r="E409" t="s">
        <v>1437</v>
      </c>
      <c r="F409" s="9" t="s">
        <v>5</v>
      </c>
      <c r="G409" s="10">
        <v>2000</v>
      </c>
    </row>
    <row r="410" spans="1:7" x14ac:dyDescent="0.35">
      <c r="A410" s="8" t="s">
        <v>1438</v>
      </c>
      <c r="B410" s="9" t="s">
        <v>1439</v>
      </c>
      <c r="C410" s="4">
        <v>43073</v>
      </c>
      <c r="D410" s="4">
        <v>43097</v>
      </c>
      <c r="E410" t="s">
        <v>791</v>
      </c>
      <c r="F410" s="9" t="s">
        <v>5</v>
      </c>
      <c r="G410" s="10">
        <v>7465.47</v>
      </c>
    </row>
    <row r="411" spans="1:7" x14ac:dyDescent="0.35">
      <c r="A411" s="8" t="s">
        <v>1443</v>
      </c>
      <c r="B411" s="9" t="s">
        <v>1444</v>
      </c>
      <c r="C411" s="4">
        <v>43073</v>
      </c>
      <c r="D411" s="4">
        <v>43087</v>
      </c>
      <c r="E411" t="s">
        <v>1445</v>
      </c>
      <c r="F411" s="9" t="s">
        <v>5</v>
      </c>
      <c r="G411" s="10">
        <v>25000</v>
      </c>
    </row>
    <row r="412" spans="1:7" x14ac:dyDescent="0.35">
      <c r="A412" s="8" t="s">
        <v>1440</v>
      </c>
      <c r="B412" s="9" t="s">
        <v>1441</v>
      </c>
      <c r="C412" s="4">
        <v>43073</v>
      </c>
      <c r="D412" s="4">
        <v>43098</v>
      </c>
      <c r="E412" t="s">
        <v>1442</v>
      </c>
      <c r="F412" s="9" t="s">
        <v>5</v>
      </c>
      <c r="G412" s="10">
        <v>35000</v>
      </c>
    </row>
    <row r="413" spans="1:7" x14ac:dyDescent="0.35">
      <c r="A413" s="8" t="s">
        <v>1531</v>
      </c>
      <c r="B413" s="9" t="s">
        <v>2569</v>
      </c>
      <c r="C413" s="4">
        <v>43074</v>
      </c>
      <c r="D413" s="4"/>
      <c r="E413" t="s">
        <v>1532</v>
      </c>
      <c r="F413" s="9" t="s">
        <v>5</v>
      </c>
      <c r="G413" s="10">
        <v>4800</v>
      </c>
    </row>
    <row r="414" spans="1:7" x14ac:dyDescent="0.35">
      <c r="A414" s="8" t="s">
        <v>1449</v>
      </c>
      <c r="B414" s="9" t="s">
        <v>1450</v>
      </c>
      <c r="C414" s="4">
        <v>43081</v>
      </c>
      <c r="D414" s="4">
        <v>43091</v>
      </c>
      <c r="E414" t="s">
        <v>1451</v>
      </c>
      <c r="F414" s="9" t="s">
        <v>5</v>
      </c>
      <c r="G414" s="10">
        <v>16500</v>
      </c>
    </row>
    <row r="415" spans="1:7" x14ac:dyDescent="0.35">
      <c r="A415" s="8" t="s">
        <v>1452</v>
      </c>
      <c r="B415" s="9" t="s">
        <v>1453</v>
      </c>
      <c r="C415" s="4">
        <v>43081</v>
      </c>
      <c r="D415" s="4">
        <v>43097</v>
      </c>
      <c r="E415" t="s">
        <v>1454</v>
      </c>
      <c r="F415" s="9" t="s">
        <v>5</v>
      </c>
      <c r="G415" s="10">
        <v>25000</v>
      </c>
    </row>
    <row r="416" spans="1:7" x14ac:dyDescent="0.35">
      <c r="A416" s="8" t="s">
        <v>1446</v>
      </c>
      <c r="B416" s="9" t="s">
        <v>1447</v>
      </c>
      <c r="C416" s="4">
        <v>43081</v>
      </c>
      <c r="D416" s="4">
        <v>43096</v>
      </c>
      <c r="E416" t="s">
        <v>1448</v>
      </c>
      <c r="F416" s="9" t="s">
        <v>5</v>
      </c>
      <c r="G416" s="10">
        <v>10000</v>
      </c>
    </row>
    <row r="417" spans="1:7" x14ac:dyDescent="0.35">
      <c r="A417" s="8" t="s">
        <v>1457</v>
      </c>
      <c r="B417" s="9" t="s">
        <v>1458</v>
      </c>
      <c r="C417" s="4">
        <v>43082</v>
      </c>
      <c r="D417" s="4">
        <v>43091</v>
      </c>
      <c r="E417" t="s">
        <v>1459</v>
      </c>
      <c r="F417" s="9" t="s">
        <v>5</v>
      </c>
      <c r="G417" s="10">
        <v>14450</v>
      </c>
    </row>
    <row r="418" spans="1:7" x14ac:dyDescent="0.35">
      <c r="A418" s="8" t="s">
        <v>1463</v>
      </c>
      <c r="B418" s="9" t="s">
        <v>1464</v>
      </c>
      <c r="C418" s="4">
        <v>43082</v>
      </c>
      <c r="D418" s="4">
        <v>43091</v>
      </c>
      <c r="E418" t="s">
        <v>1465</v>
      </c>
      <c r="F418" s="9" t="s">
        <v>5</v>
      </c>
      <c r="G418" s="10">
        <v>21185</v>
      </c>
    </row>
    <row r="419" spans="1:7" x14ac:dyDescent="0.35">
      <c r="A419" s="8" t="s">
        <v>1460</v>
      </c>
      <c r="B419" s="9" t="s">
        <v>1461</v>
      </c>
      <c r="C419" s="4">
        <v>43082</v>
      </c>
      <c r="D419" s="4">
        <v>43097</v>
      </c>
      <c r="E419" t="s">
        <v>1462</v>
      </c>
      <c r="F419" s="9" t="s">
        <v>5</v>
      </c>
      <c r="G419" s="10">
        <v>50000</v>
      </c>
    </row>
    <row r="420" spans="1:7" x14ac:dyDescent="0.35">
      <c r="A420" s="8" t="s">
        <v>1509</v>
      </c>
      <c r="B420" s="9" t="s">
        <v>1510</v>
      </c>
      <c r="C420" s="4">
        <v>43082</v>
      </c>
      <c r="D420" s="4">
        <v>43143</v>
      </c>
      <c r="E420" t="s">
        <v>1511</v>
      </c>
      <c r="F420" s="9" t="s">
        <v>5</v>
      </c>
      <c r="G420" s="10">
        <v>11500</v>
      </c>
    </row>
    <row r="421" spans="1:7" x14ac:dyDescent="0.35">
      <c r="A421" s="8" t="s">
        <v>1455</v>
      </c>
      <c r="B421" s="9" t="s">
        <v>1456</v>
      </c>
      <c r="C421" s="4">
        <v>43082</v>
      </c>
      <c r="D421" s="4">
        <v>43090</v>
      </c>
      <c r="E421" t="s">
        <v>1295</v>
      </c>
      <c r="F421" s="9" t="s">
        <v>5</v>
      </c>
      <c r="G421" s="10">
        <v>18500</v>
      </c>
    </row>
    <row r="422" spans="1:7" x14ac:dyDescent="0.35">
      <c r="A422" s="8" t="s">
        <v>1466</v>
      </c>
      <c r="B422" s="9" t="s">
        <v>1467</v>
      </c>
      <c r="C422" s="4">
        <v>43087</v>
      </c>
      <c r="D422" s="4">
        <v>43097</v>
      </c>
      <c r="E422" t="s">
        <v>802</v>
      </c>
      <c r="F422" s="9" t="s">
        <v>5</v>
      </c>
      <c r="G422" s="10">
        <v>25000</v>
      </c>
    </row>
    <row r="423" spans="1:7" x14ac:dyDescent="0.35">
      <c r="A423" s="8" t="s">
        <v>1471</v>
      </c>
      <c r="B423" s="9" t="s">
        <v>1472</v>
      </c>
      <c r="C423" s="4">
        <v>43087</v>
      </c>
      <c r="D423" s="4">
        <v>43098</v>
      </c>
      <c r="E423" t="s">
        <v>1473</v>
      </c>
      <c r="F423" s="9" t="s">
        <v>5</v>
      </c>
      <c r="G423" s="10">
        <v>3399.99</v>
      </c>
    </row>
    <row r="424" spans="1:7" x14ac:dyDescent="0.35">
      <c r="A424" s="8" t="s">
        <v>1468</v>
      </c>
      <c r="B424" s="9" t="s">
        <v>1469</v>
      </c>
      <c r="C424" s="4">
        <v>43087</v>
      </c>
      <c r="D424" s="4">
        <v>43097</v>
      </c>
      <c r="E424" t="s">
        <v>1470</v>
      </c>
      <c r="F424" s="9" t="s">
        <v>5</v>
      </c>
      <c r="G424" s="10">
        <v>25000</v>
      </c>
    </row>
    <row r="425" spans="1:7" x14ac:dyDescent="0.35">
      <c r="A425" s="8" t="s">
        <v>1477</v>
      </c>
      <c r="B425" s="9" t="s">
        <v>1478</v>
      </c>
      <c r="C425" s="4">
        <v>43088</v>
      </c>
      <c r="D425" s="4">
        <v>43098</v>
      </c>
      <c r="E425" t="s">
        <v>1479</v>
      </c>
      <c r="F425" s="9" t="s">
        <v>5</v>
      </c>
      <c r="G425" s="10">
        <v>25000</v>
      </c>
    </row>
    <row r="426" spans="1:7" x14ac:dyDescent="0.35">
      <c r="A426" s="8" t="s">
        <v>1474</v>
      </c>
      <c r="B426" s="9" t="s">
        <v>1475</v>
      </c>
      <c r="C426" s="4">
        <v>43088</v>
      </c>
      <c r="D426" s="4">
        <v>43096</v>
      </c>
      <c r="E426" t="s">
        <v>1476</v>
      </c>
      <c r="F426" s="9" t="s">
        <v>5</v>
      </c>
      <c r="G426" s="10">
        <v>10000</v>
      </c>
    </row>
    <row r="427" spans="1:7" x14ac:dyDescent="0.35">
      <c r="A427" s="8" t="s">
        <v>1483</v>
      </c>
      <c r="B427" s="9" t="s">
        <v>1484</v>
      </c>
      <c r="C427" s="4">
        <v>43088</v>
      </c>
      <c r="D427" s="4">
        <v>43097</v>
      </c>
      <c r="E427" t="s">
        <v>1485</v>
      </c>
      <c r="F427" s="9" t="s">
        <v>5</v>
      </c>
      <c r="G427" s="10">
        <v>899.99</v>
      </c>
    </row>
    <row r="428" spans="1:7" x14ac:dyDescent="0.35">
      <c r="A428" s="8" t="s">
        <v>1480</v>
      </c>
      <c r="B428" s="9" t="s">
        <v>1481</v>
      </c>
      <c r="C428" s="4">
        <v>43088</v>
      </c>
      <c r="D428" s="4">
        <v>43097</v>
      </c>
      <c r="E428" t="s">
        <v>1482</v>
      </c>
      <c r="F428" s="9" t="s">
        <v>5</v>
      </c>
      <c r="G428" s="10">
        <v>18070</v>
      </c>
    </row>
    <row r="429" spans="1:7" x14ac:dyDescent="0.35">
      <c r="A429" s="8" t="s">
        <v>1494</v>
      </c>
      <c r="B429" s="9" t="s">
        <v>1495</v>
      </c>
      <c r="C429" s="4">
        <v>43089</v>
      </c>
      <c r="D429" s="4">
        <v>43097</v>
      </c>
      <c r="E429" t="s">
        <v>1496</v>
      </c>
      <c r="F429" s="9" t="s">
        <v>5</v>
      </c>
      <c r="G429" s="10">
        <v>24200</v>
      </c>
    </row>
    <row r="430" spans="1:7" x14ac:dyDescent="0.35">
      <c r="A430" s="8" t="s">
        <v>1488</v>
      </c>
      <c r="B430" s="9" t="s">
        <v>1489</v>
      </c>
      <c r="C430" s="4">
        <v>43089</v>
      </c>
      <c r="D430" s="4">
        <v>43097</v>
      </c>
      <c r="E430" t="s">
        <v>1490</v>
      </c>
      <c r="F430" s="9" t="s">
        <v>5</v>
      </c>
      <c r="G430" s="10">
        <v>4500</v>
      </c>
    </row>
    <row r="431" spans="1:7" x14ac:dyDescent="0.35">
      <c r="A431" s="8" t="s">
        <v>1491</v>
      </c>
      <c r="B431" s="9" t="s">
        <v>1492</v>
      </c>
      <c r="C431" s="4">
        <v>43089</v>
      </c>
      <c r="D431" s="4">
        <v>43097</v>
      </c>
      <c r="E431" t="s">
        <v>1493</v>
      </c>
      <c r="F431" s="9" t="s">
        <v>5</v>
      </c>
      <c r="G431" s="10">
        <v>17600</v>
      </c>
    </row>
    <row r="432" spans="1:7" x14ac:dyDescent="0.35">
      <c r="A432" s="8" t="s">
        <v>1503</v>
      </c>
      <c r="B432" s="9" t="s">
        <v>1504</v>
      </c>
      <c r="C432" s="4">
        <v>43090</v>
      </c>
      <c r="D432" s="4">
        <v>43098</v>
      </c>
      <c r="E432" t="s">
        <v>1505</v>
      </c>
      <c r="F432" s="9" t="s">
        <v>5</v>
      </c>
      <c r="G432" s="10">
        <v>25000</v>
      </c>
    </row>
    <row r="433" spans="1:7" x14ac:dyDescent="0.35">
      <c r="A433" s="8" t="s">
        <v>1497</v>
      </c>
      <c r="B433" s="9" t="s">
        <v>1498</v>
      </c>
      <c r="C433" s="4">
        <v>43090</v>
      </c>
      <c r="D433" s="4">
        <v>43098</v>
      </c>
      <c r="E433" t="s">
        <v>1499</v>
      </c>
      <c r="F433" s="9" t="s">
        <v>5</v>
      </c>
      <c r="G433" s="10">
        <v>16926</v>
      </c>
    </row>
    <row r="434" spans="1:7" x14ac:dyDescent="0.35">
      <c r="A434" s="8" t="s">
        <v>1506</v>
      </c>
      <c r="B434" s="9" t="s">
        <v>1507</v>
      </c>
      <c r="C434" s="4">
        <v>43090</v>
      </c>
      <c r="D434" s="4">
        <v>43098</v>
      </c>
      <c r="E434" t="s">
        <v>1508</v>
      </c>
      <c r="F434" s="9" t="s">
        <v>5</v>
      </c>
      <c r="G434" s="10">
        <v>12295</v>
      </c>
    </row>
    <row r="435" spans="1:7" x14ac:dyDescent="0.35">
      <c r="A435" s="8" t="s">
        <v>1500</v>
      </c>
      <c r="B435" s="9" t="s">
        <v>1501</v>
      </c>
      <c r="C435" s="4">
        <v>43090</v>
      </c>
      <c r="D435" s="4">
        <v>43098</v>
      </c>
      <c r="E435" t="s">
        <v>1502</v>
      </c>
      <c r="F435" s="9" t="s">
        <v>5</v>
      </c>
      <c r="G435" s="10">
        <v>22950</v>
      </c>
    </row>
    <row r="436" spans="1:7" x14ac:dyDescent="0.35">
      <c r="A436" s="8" t="s">
        <v>1520</v>
      </c>
      <c r="B436" s="9" t="s">
        <v>1521</v>
      </c>
      <c r="C436" s="4">
        <v>43097</v>
      </c>
      <c r="D436" s="4">
        <v>43098</v>
      </c>
      <c r="E436" t="s">
        <v>1522</v>
      </c>
      <c r="F436" s="9" t="s">
        <v>5</v>
      </c>
      <c r="G436" s="10">
        <v>9097</v>
      </c>
    </row>
    <row r="437" spans="1:7" x14ac:dyDescent="0.35">
      <c r="A437" s="8" t="s">
        <v>1523</v>
      </c>
      <c r="B437" s="9" t="s">
        <v>1524</v>
      </c>
      <c r="C437" s="4">
        <v>43097</v>
      </c>
      <c r="D437" s="4">
        <v>43098</v>
      </c>
      <c r="E437" t="s">
        <v>1525</v>
      </c>
      <c r="F437" s="9" t="s">
        <v>5</v>
      </c>
      <c r="G437" s="10">
        <v>25000</v>
      </c>
    </row>
    <row r="438" spans="1:7" x14ac:dyDescent="0.35">
      <c r="A438" s="8" t="s">
        <v>1517</v>
      </c>
      <c r="B438" s="9" t="s">
        <v>1518</v>
      </c>
      <c r="C438" s="4">
        <v>43097</v>
      </c>
      <c r="D438" s="4">
        <v>43098</v>
      </c>
      <c r="E438" t="s">
        <v>1519</v>
      </c>
      <c r="F438" s="9" t="s">
        <v>5</v>
      </c>
      <c r="G438" s="10">
        <v>25000</v>
      </c>
    </row>
    <row r="439" spans="1:7" x14ac:dyDescent="0.35">
      <c r="A439" s="8" t="s">
        <v>1515</v>
      </c>
      <c r="B439" s="9" t="s">
        <v>1516</v>
      </c>
      <c r="C439" s="4">
        <v>43097</v>
      </c>
      <c r="D439" s="4">
        <v>43098</v>
      </c>
      <c r="E439" t="s">
        <v>1414</v>
      </c>
      <c r="F439" s="9" t="s">
        <v>5</v>
      </c>
      <c r="G439" s="10">
        <v>18750</v>
      </c>
    </row>
    <row r="440" spans="1:7" x14ac:dyDescent="0.35">
      <c r="A440" s="8" t="s">
        <v>1512</v>
      </c>
      <c r="B440" s="9" t="s">
        <v>1513</v>
      </c>
      <c r="C440" s="4">
        <v>43097</v>
      </c>
      <c r="D440" s="4">
        <v>43098</v>
      </c>
      <c r="E440" t="s">
        <v>1514</v>
      </c>
      <c r="F440" s="9" t="s">
        <v>5</v>
      </c>
      <c r="G440" s="10">
        <v>25000</v>
      </c>
    </row>
    <row r="441" spans="1:7" x14ac:dyDescent="0.35">
      <c r="A441" s="8" t="s">
        <v>1536</v>
      </c>
      <c r="B441" s="9" t="s">
        <v>1537</v>
      </c>
      <c r="C441" s="4">
        <v>43115</v>
      </c>
      <c r="D441" s="4">
        <v>43179</v>
      </c>
      <c r="E441" t="s">
        <v>1538</v>
      </c>
      <c r="F441" s="9" t="s">
        <v>5</v>
      </c>
      <c r="G441" s="10">
        <v>5090.5</v>
      </c>
    </row>
    <row r="442" spans="1:7" x14ac:dyDescent="0.35">
      <c r="A442" s="8" t="s">
        <v>249</v>
      </c>
      <c r="B442" s="9" t="s">
        <v>250</v>
      </c>
      <c r="C442" s="4">
        <v>43125</v>
      </c>
      <c r="D442" s="4">
        <v>43193</v>
      </c>
      <c r="E442" t="s">
        <v>251</v>
      </c>
      <c r="F442" s="11" t="s">
        <v>4</v>
      </c>
      <c r="G442" s="10">
        <v>671340</v>
      </c>
    </row>
    <row r="443" spans="1:7" x14ac:dyDescent="0.35">
      <c r="A443" s="8" t="s">
        <v>244</v>
      </c>
      <c r="B443" s="9" t="s">
        <v>245</v>
      </c>
      <c r="C443" s="4">
        <v>43125</v>
      </c>
      <c r="D443" s="4">
        <v>43165</v>
      </c>
      <c r="E443" t="s">
        <v>246</v>
      </c>
      <c r="F443" s="11" t="s">
        <v>4</v>
      </c>
      <c r="G443" s="10">
        <v>300000</v>
      </c>
    </row>
    <row r="444" spans="1:7" x14ac:dyDescent="0.35">
      <c r="A444" s="8" t="s">
        <v>247</v>
      </c>
      <c r="B444" s="9" t="s">
        <v>248</v>
      </c>
      <c r="C444" s="4">
        <v>43125</v>
      </c>
      <c r="D444" s="4">
        <v>43165</v>
      </c>
      <c r="E444" t="s">
        <v>246</v>
      </c>
      <c r="F444" s="11" t="s">
        <v>4</v>
      </c>
      <c r="G444" s="10">
        <v>100000</v>
      </c>
    </row>
    <row r="445" spans="1:7" x14ac:dyDescent="0.35">
      <c r="A445" s="8" t="s">
        <v>265</v>
      </c>
      <c r="B445" s="9" t="s">
        <v>2569</v>
      </c>
      <c r="C445" s="4">
        <v>43125</v>
      </c>
      <c r="D445" s="4"/>
      <c r="E445" t="s">
        <v>488</v>
      </c>
      <c r="F445" s="11" t="s">
        <v>4</v>
      </c>
      <c r="G445" s="10">
        <v>1400000</v>
      </c>
    </row>
    <row r="446" spans="1:7" x14ac:dyDescent="0.35">
      <c r="A446" s="8" t="s">
        <v>266</v>
      </c>
      <c r="B446" s="9" t="s">
        <v>2569</v>
      </c>
      <c r="C446" s="4">
        <v>43125</v>
      </c>
      <c r="D446" s="4"/>
      <c r="E446" t="s">
        <v>488</v>
      </c>
      <c r="F446" s="11" t="s">
        <v>4</v>
      </c>
      <c r="G446" s="10">
        <v>600000</v>
      </c>
    </row>
    <row r="447" spans="1:7" x14ac:dyDescent="0.35">
      <c r="A447" s="8" t="s">
        <v>260</v>
      </c>
      <c r="B447" s="9" t="s">
        <v>261</v>
      </c>
      <c r="C447" s="4">
        <v>43125</v>
      </c>
      <c r="D447" s="4">
        <v>43717</v>
      </c>
      <c r="E447" t="s">
        <v>262</v>
      </c>
      <c r="F447" s="11" t="s">
        <v>4</v>
      </c>
      <c r="G447" s="10">
        <v>3853000</v>
      </c>
    </row>
    <row r="448" spans="1:7" x14ac:dyDescent="0.35">
      <c r="A448" s="8" t="s">
        <v>263</v>
      </c>
      <c r="B448" s="9" t="s">
        <v>264</v>
      </c>
      <c r="C448" s="4">
        <v>43125</v>
      </c>
      <c r="D448" s="4">
        <v>43717</v>
      </c>
      <c r="E448" t="s">
        <v>262</v>
      </c>
      <c r="F448" s="11" t="s">
        <v>4</v>
      </c>
      <c r="G448" s="10">
        <v>2400000</v>
      </c>
    </row>
    <row r="449" spans="1:7" x14ac:dyDescent="0.35">
      <c r="A449" s="8" t="s">
        <v>253</v>
      </c>
      <c r="B449" s="9" t="s">
        <v>2569</v>
      </c>
      <c r="C449" s="4">
        <v>43125</v>
      </c>
      <c r="D449" s="4"/>
      <c r="E449" t="s">
        <v>254</v>
      </c>
      <c r="F449" s="11" t="s">
        <v>4</v>
      </c>
      <c r="G449" s="10">
        <v>400000</v>
      </c>
    </row>
    <row r="450" spans="1:7" x14ac:dyDescent="0.35">
      <c r="A450" s="8" t="s">
        <v>258</v>
      </c>
      <c r="B450" s="9" t="s">
        <v>2569</v>
      </c>
      <c r="C450" s="4">
        <v>43125</v>
      </c>
      <c r="D450" s="4"/>
      <c r="E450" t="s">
        <v>259</v>
      </c>
      <c r="F450" s="11" t="s">
        <v>4</v>
      </c>
      <c r="G450" s="10">
        <v>1200000</v>
      </c>
    </row>
    <row r="451" spans="1:7" x14ac:dyDescent="0.35">
      <c r="A451" s="8" t="s">
        <v>236</v>
      </c>
      <c r="B451" s="9" t="s">
        <v>237</v>
      </c>
      <c r="C451" s="4">
        <v>43125</v>
      </c>
      <c r="D451" s="4">
        <v>43776</v>
      </c>
      <c r="E451" t="s">
        <v>238</v>
      </c>
      <c r="F451" s="11" t="s">
        <v>4</v>
      </c>
      <c r="G451" s="10">
        <v>215000</v>
      </c>
    </row>
    <row r="452" spans="1:7" x14ac:dyDescent="0.35">
      <c r="A452" s="8" t="s">
        <v>296</v>
      </c>
      <c r="B452" s="9" t="s">
        <v>297</v>
      </c>
      <c r="C452" s="4">
        <v>43159</v>
      </c>
      <c r="D452" s="4">
        <v>43341</v>
      </c>
      <c r="E452" t="s">
        <v>298</v>
      </c>
      <c r="F452" s="11" t="s">
        <v>4</v>
      </c>
      <c r="G452" s="10">
        <v>1000000</v>
      </c>
    </row>
    <row r="453" spans="1:7" x14ac:dyDescent="0.35">
      <c r="A453" s="8" t="s">
        <v>299</v>
      </c>
      <c r="B453" s="9" t="s">
        <v>300</v>
      </c>
      <c r="C453" s="4">
        <v>43159</v>
      </c>
      <c r="D453" s="4">
        <v>43341</v>
      </c>
      <c r="E453" t="s">
        <v>298</v>
      </c>
      <c r="F453" s="11" t="s">
        <v>4</v>
      </c>
      <c r="G453" s="10">
        <v>1500000</v>
      </c>
    </row>
    <row r="454" spans="1:7" x14ac:dyDescent="0.35">
      <c r="A454" s="8" t="s">
        <v>275</v>
      </c>
      <c r="B454" s="9" t="s">
        <v>276</v>
      </c>
      <c r="C454" s="4">
        <v>43159</v>
      </c>
      <c r="D454" s="4">
        <v>43201</v>
      </c>
      <c r="E454" t="s">
        <v>277</v>
      </c>
      <c r="F454" s="11" t="s">
        <v>4</v>
      </c>
      <c r="G454" s="10">
        <v>400000</v>
      </c>
    </row>
    <row r="455" spans="1:7" x14ac:dyDescent="0.35">
      <c r="A455" s="8" t="s">
        <v>278</v>
      </c>
      <c r="B455" s="9" t="s">
        <v>279</v>
      </c>
      <c r="C455" s="4">
        <v>43159</v>
      </c>
      <c r="D455" s="4">
        <v>43201</v>
      </c>
      <c r="E455" t="s">
        <v>277</v>
      </c>
      <c r="F455" s="11" t="s">
        <v>4</v>
      </c>
      <c r="G455" s="10">
        <v>700000</v>
      </c>
    </row>
    <row r="456" spans="1:7" x14ac:dyDescent="0.35">
      <c r="A456" s="8" t="s">
        <v>268</v>
      </c>
      <c r="B456" s="9" t="s">
        <v>269</v>
      </c>
      <c r="C456" s="4">
        <v>43159</v>
      </c>
      <c r="D456" s="4">
        <v>43201</v>
      </c>
      <c r="E456" t="s">
        <v>270</v>
      </c>
      <c r="F456" s="11" t="s">
        <v>4</v>
      </c>
      <c r="G456" s="10">
        <v>2000000</v>
      </c>
    </row>
    <row r="457" spans="1:7" x14ac:dyDescent="0.35">
      <c r="A457" s="8" t="s">
        <v>1541</v>
      </c>
      <c r="B457" s="9" t="s">
        <v>1542</v>
      </c>
      <c r="C457" s="4">
        <v>43160</v>
      </c>
      <c r="D457" s="4">
        <v>43978</v>
      </c>
      <c r="E457" t="s">
        <v>1543</v>
      </c>
      <c r="F457" s="9" t="s">
        <v>5</v>
      </c>
      <c r="G457" s="10">
        <v>9000</v>
      </c>
    </row>
    <row r="458" spans="1:7" x14ac:dyDescent="0.35">
      <c r="A458" s="8" t="s">
        <v>1547</v>
      </c>
      <c r="B458" s="9" t="s">
        <v>1548</v>
      </c>
      <c r="C458" s="4">
        <v>43160</v>
      </c>
      <c r="D458" s="4">
        <v>43397</v>
      </c>
      <c r="E458" t="s">
        <v>1549</v>
      </c>
      <c r="F458" s="9" t="s">
        <v>5</v>
      </c>
      <c r="G458" s="10">
        <v>20700</v>
      </c>
    </row>
    <row r="459" spans="1:7" x14ac:dyDescent="0.35">
      <c r="A459" s="8" t="s">
        <v>1544</v>
      </c>
      <c r="B459" s="9" t="s">
        <v>1545</v>
      </c>
      <c r="C459" s="4">
        <v>43160</v>
      </c>
      <c r="D459" s="4">
        <v>43245</v>
      </c>
      <c r="E459" t="s">
        <v>1546</v>
      </c>
      <c r="F459" s="9" t="s">
        <v>5</v>
      </c>
      <c r="G459" s="10">
        <v>9000</v>
      </c>
    </row>
    <row r="460" spans="1:7" x14ac:dyDescent="0.35">
      <c r="A460" s="8" t="s">
        <v>1550</v>
      </c>
      <c r="B460" s="9" t="s">
        <v>2569</v>
      </c>
      <c r="C460" s="4">
        <v>43168</v>
      </c>
      <c r="D460" s="4"/>
      <c r="E460" t="s">
        <v>1493</v>
      </c>
      <c r="F460" s="9" t="s">
        <v>5</v>
      </c>
      <c r="G460" s="10">
        <v>11200</v>
      </c>
    </row>
    <row r="461" spans="1:7" x14ac:dyDescent="0.35">
      <c r="A461" s="8" t="s">
        <v>1564</v>
      </c>
      <c r="B461" s="9" t="s">
        <v>1565</v>
      </c>
      <c r="C461" s="4">
        <v>43175</v>
      </c>
      <c r="D461" s="4">
        <v>43280</v>
      </c>
      <c r="E461" t="s">
        <v>1566</v>
      </c>
      <c r="F461" s="9" t="s">
        <v>5</v>
      </c>
      <c r="G461" s="10">
        <v>248036</v>
      </c>
    </row>
    <row r="462" spans="1:7" x14ac:dyDescent="0.35">
      <c r="A462" s="8" t="s">
        <v>1551</v>
      </c>
      <c r="B462" s="9" t="s">
        <v>1552</v>
      </c>
      <c r="C462" s="4">
        <v>43193</v>
      </c>
      <c r="D462" s="4">
        <v>43271</v>
      </c>
      <c r="E462" t="s">
        <v>1553</v>
      </c>
      <c r="F462" s="9" t="s">
        <v>5</v>
      </c>
      <c r="G462" s="10">
        <v>10500</v>
      </c>
    </row>
    <row r="463" spans="1:7" x14ac:dyDescent="0.35">
      <c r="A463" s="8" t="s">
        <v>348</v>
      </c>
      <c r="B463" s="9" t="s">
        <v>349</v>
      </c>
      <c r="C463" s="4">
        <v>43194</v>
      </c>
      <c r="D463" s="4">
        <v>43332</v>
      </c>
      <c r="E463" t="s">
        <v>350</v>
      </c>
      <c r="F463" s="9" t="s">
        <v>4</v>
      </c>
      <c r="G463" s="10">
        <v>250000</v>
      </c>
    </row>
    <row r="464" spans="1:7" x14ac:dyDescent="0.35">
      <c r="A464" s="8" t="s">
        <v>288</v>
      </c>
      <c r="B464" s="9" t="s">
        <v>289</v>
      </c>
      <c r="C464" s="4">
        <v>43194</v>
      </c>
      <c r="D464" s="4">
        <v>43383</v>
      </c>
      <c r="E464" t="s">
        <v>290</v>
      </c>
      <c r="F464" s="11" t="s">
        <v>4</v>
      </c>
      <c r="G464" s="10">
        <v>2365657</v>
      </c>
    </row>
    <row r="465" spans="1:7" x14ac:dyDescent="0.35">
      <c r="A465" s="8" t="s">
        <v>280</v>
      </c>
      <c r="B465" s="9" t="s">
        <v>281</v>
      </c>
      <c r="C465" s="4">
        <v>43194</v>
      </c>
      <c r="D465" s="4">
        <v>43453</v>
      </c>
      <c r="E465" t="s">
        <v>282</v>
      </c>
      <c r="F465" s="11" t="s">
        <v>4</v>
      </c>
      <c r="G465" s="10">
        <v>2000000</v>
      </c>
    </row>
    <row r="466" spans="1:7" x14ac:dyDescent="0.35">
      <c r="A466" s="8" t="s">
        <v>301</v>
      </c>
      <c r="B466" s="9" t="s">
        <v>302</v>
      </c>
      <c r="C466" s="4">
        <v>43194</v>
      </c>
      <c r="D466" s="4">
        <v>43336</v>
      </c>
      <c r="E466" t="s">
        <v>303</v>
      </c>
      <c r="F466" s="11" t="s">
        <v>4</v>
      </c>
      <c r="G466" s="10">
        <v>68147.5</v>
      </c>
    </row>
    <row r="467" spans="1:7" x14ac:dyDescent="0.35">
      <c r="A467" s="8" t="s">
        <v>283</v>
      </c>
      <c r="B467" s="9" t="s">
        <v>284</v>
      </c>
      <c r="C467" s="4">
        <v>43194</v>
      </c>
      <c r="D467" s="4">
        <v>43451</v>
      </c>
      <c r="E467" t="s">
        <v>285</v>
      </c>
      <c r="F467" s="11" t="s">
        <v>4</v>
      </c>
      <c r="G467" s="10">
        <v>114000</v>
      </c>
    </row>
    <row r="468" spans="1:7" x14ac:dyDescent="0.35">
      <c r="A468" s="8" t="s">
        <v>286</v>
      </c>
      <c r="B468" s="9" t="s">
        <v>287</v>
      </c>
      <c r="C468" s="4">
        <v>43194</v>
      </c>
      <c r="D468" s="4">
        <v>44056</v>
      </c>
      <c r="E468" t="s">
        <v>285</v>
      </c>
      <c r="F468" s="11" t="s">
        <v>4</v>
      </c>
      <c r="G468" s="10">
        <v>5500000</v>
      </c>
    </row>
    <row r="469" spans="1:7" x14ac:dyDescent="0.35">
      <c r="A469" s="8" t="s">
        <v>1554</v>
      </c>
      <c r="B469" s="9" t="s">
        <v>2569</v>
      </c>
      <c r="C469" s="4">
        <v>43202</v>
      </c>
      <c r="D469" s="4"/>
      <c r="E469" t="s">
        <v>1555</v>
      </c>
      <c r="F469" s="9" t="s">
        <v>5</v>
      </c>
      <c r="G469" s="10">
        <v>9000</v>
      </c>
    </row>
    <row r="470" spans="1:7" x14ac:dyDescent="0.35">
      <c r="A470" s="8" t="s">
        <v>1556</v>
      </c>
      <c r="B470" s="9" t="s">
        <v>2569</v>
      </c>
      <c r="C470" s="4">
        <v>43228</v>
      </c>
      <c r="D470" s="4"/>
      <c r="E470" t="s">
        <v>1557</v>
      </c>
      <c r="F470" s="9" t="s">
        <v>5</v>
      </c>
      <c r="G470" s="10">
        <v>17250</v>
      </c>
    </row>
    <row r="471" spans="1:7" x14ac:dyDescent="0.35">
      <c r="A471" s="8" t="s">
        <v>1558</v>
      </c>
      <c r="B471" s="9" t="s">
        <v>1559</v>
      </c>
      <c r="C471" s="4">
        <v>43229</v>
      </c>
      <c r="D471" s="4">
        <v>43300</v>
      </c>
      <c r="E471" t="s">
        <v>1560</v>
      </c>
      <c r="F471" s="9" t="s">
        <v>5</v>
      </c>
      <c r="G471" s="10">
        <v>112000</v>
      </c>
    </row>
    <row r="472" spans="1:7" x14ac:dyDescent="0.35">
      <c r="A472" s="8" t="s">
        <v>291</v>
      </c>
      <c r="B472" s="9" t="s">
        <v>292</v>
      </c>
      <c r="C472" s="4">
        <v>43230</v>
      </c>
      <c r="D472" s="4">
        <v>43545</v>
      </c>
      <c r="E472" t="s">
        <v>293</v>
      </c>
      <c r="F472" s="11" t="s">
        <v>4</v>
      </c>
      <c r="G472" s="10">
        <v>400000</v>
      </c>
    </row>
    <row r="473" spans="1:7" x14ac:dyDescent="0.35">
      <c r="A473" s="8" t="s">
        <v>294</v>
      </c>
      <c r="B473" s="9" t="s">
        <v>295</v>
      </c>
      <c r="C473" s="4">
        <v>43230</v>
      </c>
      <c r="D473" s="4">
        <v>43545</v>
      </c>
      <c r="E473" s="9" t="s">
        <v>293</v>
      </c>
      <c r="F473" s="11" t="s">
        <v>4</v>
      </c>
      <c r="G473" s="10">
        <v>2000000</v>
      </c>
    </row>
    <row r="474" spans="1:7" x14ac:dyDescent="0.35">
      <c r="A474" s="8" t="s">
        <v>1561</v>
      </c>
      <c r="B474" s="9" t="s">
        <v>1562</v>
      </c>
      <c r="C474" s="4">
        <v>43235</v>
      </c>
      <c r="D474" s="4">
        <v>43502</v>
      </c>
      <c r="E474" s="9" t="s">
        <v>1563</v>
      </c>
      <c r="F474" s="9" t="s">
        <v>5</v>
      </c>
      <c r="G474" s="10">
        <v>14000</v>
      </c>
    </row>
    <row r="475" spans="1:7" x14ac:dyDescent="0.35">
      <c r="A475" s="8" t="s">
        <v>1572</v>
      </c>
      <c r="B475" s="9" t="s">
        <v>1573</v>
      </c>
      <c r="C475" s="4">
        <v>43235</v>
      </c>
      <c r="D475" s="4">
        <v>43502</v>
      </c>
      <c r="E475" t="s">
        <v>1563</v>
      </c>
      <c r="F475" s="9" t="s">
        <v>5</v>
      </c>
      <c r="G475" s="10">
        <v>225000</v>
      </c>
    </row>
    <row r="476" spans="1:7" x14ac:dyDescent="0.35">
      <c r="A476" s="8" t="s">
        <v>316</v>
      </c>
      <c r="B476" s="9" t="s">
        <v>317</v>
      </c>
      <c r="C476" s="4">
        <v>43237</v>
      </c>
      <c r="D476" s="4">
        <v>43749</v>
      </c>
      <c r="E476" t="s">
        <v>318</v>
      </c>
      <c r="F476" s="11" t="s">
        <v>4</v>
      </c>
      <c r="G476" s="10">
        <v>375000</v>
      </c>
    </row>
    <row r="477" spans="1:7" x14ac:dyDescent="0.35">
      <c r="A477" s="8" t="s">
        <v>319</v>
      </c>
      <c r="B477" s="9" t="s">
        <v>320</v>
      </c>
      <c r="C477" s="4">
        <v>43237</v>
      </c>
      <c r="D477" s="4">
        <v>43550</v>
      </c>
      <c r="E477" t="s">
        <v>318</v>
      </c>
      <c r="F477" s="11" t="s">
        <v>4</v>
      </c>
      <c r="G477" s="10">
        <v>2000000</v>
      </c>
    </row>
    <row r="478" spans="1:7" x14ac:dyDescent="0.35">
      <c r="A478" s="8" t="s">
        <v>1567</v>
      </c>
      <c r="B478" s="9" t="s">
        <v>1568</v>
      </c>
      <c r="C478" s="4">
        <v>43242</v>
      </c>
      <c r="D478" s="4">
        <v>43446</v>
      </c>
      <c r="E478" t="s">
        <v>1569</v>
      </c>
      <c r="F478" s="9" t="s">
        <v>5</v>
      </c>
      <c r="G478" s="10">
        <v>45000</v>
      </c>
    </row>
    <row r="479" spans="1:7" x14ac:dyDescent="0.35">
      <c r="A479" s="8" t="s">
        <v>1570</v>
      </c>
      <c r="B479" s="9" t="s">
        <v>1571</v>
      </c>
      <c r="C479" s="4">
        <v>43242</v>
      </c>
      <c r="D479" s="4">
        <v>43447</v>
      </c>
      <c r="E479" t="s">
        <v>1569</v>
      </c>
      <c r="F479" s="9" t="s">
        <v>5</v>
      </c>
      <c r="G479" s="10">
        <v>150000</v>
      </c>
    </row>
    <row r="480" spans="1:7" x14ac:dyDescent="0.35">
      <c r="A480" s="8" t="s">
        <v>1125</v>
      </c>
      <c r="B480" s="9" t="s">
        <v>2569</v>
      </c>
      <c r="C480" s="4">
        <v>43249</v>
      </c>
      <c r="D480" s="4"/>
      <c r="E480" t="s">
        <v>815</v>
      </c>
      <c r="F480" s="9" t="s">
        <v>5</v>
      </c>
      <c r="G480" s="10">
        <v>24214</v>
      </c>
    </row>
    <row r="481" spans="1:7" x14ac:dyDescent="0.35">
      <c r="A481" s="8" t="s">
        <v>1130</v>
      </c>
      <c r="B481" s="9" t="s">
        <v>2569</v>
      </c>
      <c r="C481" s="4">
        <v>43249</v>
      </c>
      <c r="D481" s="4"/>
      <c r="E481" t="s">
        <v>482</v>
      </c>
      <c r="F481" s="9" t="s">
        <v>5</v>
      </c>
      <c r="G481" s="10">
        <v>4526</v>
      </c>
    </row>
    <row r="482" spans="1:7" x14ac:dyDescent="0.35">
      <c r="A482" s="8" t="s">
        <v>1127</v>
      </c>
      <c r="B482" s="9" t="s">
        <v>2569</v>
      </c>
      <c r="C482" s="4">
        <v>43249</v>
      </c>
      <c r="D482" s="4"/>
      <c r="E482" t="s">
        <v>799</v>
      </c>
      <c r="F482" s="9" t="s">
        <v>5</v>
      </c>
      <c r="G482" s="10">
        <v>13738</v>
      </c>
    </row>
    <row r="483" spans="1:7" x14ac:dyDescent="0.35">
      <c r="A483" s="8" t="s">
        <v>1129</v>
      </c>
      <c r="B483" s="9" t="s">
        <v>2569</v>
      </c>
      <c r="C483" s="4">
        <v>43249</v>
      </c>
      <c r="D483" s="4"/>
      <c r="E483" t="s">
        <v>818</v>
      </c>
      <c r="F483" s="9" t="s">
        <v>5</v>
      </c>
      <c r="G483" s="10">
        <v>1037</v>
      </c>
    </row>
    <row r="484" spans="1:7" x14ac:dyDescent="0.35">
      <c r="A484" s="8" t="s">
        <v>1128</v>
      </c>
      <c r="B484" s="9" t="s">
        <v>2569</v>
      </c>
      <c r="C484" s="4">
        <v>43249</v>
      </c>
      <c r="D484" s="4"/>
      <c r="E484" t="s">
        <v>774</v>
      </c>
      <c r="F484" s="9" t="s">
        <v>5</v>
      </c>
      <c r="G484" s="10">
        <v>15352</v>
      </c>
    </row>
    <row r="485" spans="1:7" x14ac:dyDescent="0.35">
      <c r="A485" s="8" t="s">
        <v>1126</v>
      </c>
      <c r="B485" s="9" t="s">
        <v>2569</v>
      </c>
      <c r="C485" s="4">
        <v>43249</v>
      </c>
      <c r="D485" s="4"/>
      <c r="E485" t="s">
        <v>796</v>
      </c>
      <c r="F485" s="9" t="s">
        <v>5</v>
      </c>
      <c r="G485" s="10">
        <v>16983</v>
      </c>
    </row>
    <row r="486" spans="1:7" x14ac:dyDescent="0.35">
      <c r="A486" s="8" t="s">
        <v>1124</v>
      </c>
      <c r="B486" s="9" t="s">
        <v>2569</v>
      </c>
      <c r="C486" s="4">
        <v>43249</v>
      </c>
      <c r="D486" s="4"/>
      <c r="E486" t="s">
        <v>807</v>
      </c>
      <c r="F486" s="9" t="s">
        <v>5</v>
      </c>
      <c r="G486" s="10">
        <v>7379</v>
      </c>
    </row>
    <row r="487" spans="1:7" x14ac:dyDescent="0.35">
      <c r="A487" s="8" t="s">
        <v>1131</v>
      </c>
      <c r="B487" s="9" t="s">
        <v>2569</v>
      </c>
      <c r="C487" s="4">
        <v>43250</v>
      </c>
      <c r="D487" s="4"/>
      <c r="E487" t="s">
        <v>1132</v>
      </c>
      <c r="F487" s="9" t="s">
        <v>5</v>
      </c>
      <c r="G487" s="10">
        <v>240000</v>
      </c>
    </row>
    <row r="488" spans="1:7" x14ac:dyDescent="0.35">
      <c r="A488" s="8" t="s">
        <v>416</v>
      </c>
      <c r="B488" s="9" t="s">
        <v>2569</v>
      </c>
      <c r="C488" s="4">
        <v>43251</v>
      </c>
      <c r="D488" s="4"/>
      <c r="E488" t="s">
        <v>171</v>
      </c>
      <c r="F488" s="9" t="s">
        <v>4</v>
      </c>
      <c r="G488" s="10">
        <v>2974955</v>
      </c>
    </row>
    <row r="489" spans="1:7" x14ac:dyDescent="0.35">
      <c r="A489" s="8" t="s">
        <v>435</v>
      </c>
      <c r="B489" s="9" t="s">
        <v>436</v>
      </c>
      <c r="C489" s="4">
        <v>43260</v>
      </c>
      <c r="D489" s="4">
        <v>43597</v>
      </c>
      <c r="E489" t="s">
        <v>437</v>
      </c>
      <c r="F489" s="9" t="s">
        <v>4</v>
      </c>
      <c r="G489" s="10">
        <v>36000</v>
      </c>
    </row>
    <row r="490" spans="1:7" x14ac:dyDescent="0.35">
      <c r="A490" s="8" t="s">
        <v>1577</v>
      </c>
      <c r="B490" s="9" t="s">
        <v>1578</v>
      </c>
      <c r="C490" s="4">
        <v>43263</v>
      </c>
      <c r="D490" s="4">
        <v>43438</v>
      </c>
      <c r="E490" t="s">
        <v>1417</v>
      </c>
      <c r="F490" s="9" t="s">
        <v>5</v>
      </c>
      <c r="G490" s="10">
        <v>28600</v>
      </c>
    </row>
    <row r="491" spans="1:7" x14ac:dyDescent="0.35">
      <c r="A491" s="8" t="s">
        <v>1579</v>
      </c>
      <c r="B491" s="9" t="s">
        <v>2569</v>
      </c>
      <c r="C491" s="4">
        <v>43263</v>
      </c>
      <c r="D491" s="4"/>
      <c r="E491" t="s">
        <v>1580</v>
      </c>
      <c r="F491" s="9" t="s">
        <v>5</v>
      </c>
      <c r="G491" s="10">
        <v>1000</v>
      </c>
    </row>
    <row r="492" spans="1:7" x14ac:dyDescent="0.35">
      <c r="A492" s="8" t="s">
        <v>323</v>
      </c>
      <c r="B492" s="9" t="s">
        <v>324</v>
      </c>
      <c r="C492" s="4">
        <v>43269</v>
      </c>
      <c r="D492" s="4">
        <v>43570</v>
      </c>
      <c r="E492" t="s">
        <v>325</v>
      </c>
      <c r="F492" s="9" t="s">
        <v>4</v>
      </c>
      <c r="G492" s="10">
        <v>1500000</v>
      </c>
    </row>
    <row r="493" spans="1:7" x14ac:dyDescent="0.35">
      <c r="A493" s="8" t="s">
        <v>321</v>
      </c>
      <c r="B493" s="9" t="s">
        <v>322</v>
      </c>
      <c r="C493" s="4">
        <v>43269</v>
      </c>
      <c r="D493" s="4">
        <v>43341</v>
      </c>
      <c r="E493" t="s">
        <v>257</v>
      </c>
      <c r="F493" s="11" t="s">
        <v>4</v>
      </c>
      <c r="G493" s="10">
        <v>54924</v>
      </c>
    </row>
    <row r="494" spans="1:7" x14ac:dyDescent="0.35">
      <c r="A494" s="8" t="s">
        <v>340</v>
      </c>
      <c r="B494" s="9" t="s">
        <v>341</v>
      </c>
      <c r="C494" s="4">
        <v>43269</v>
      </c>
      <c r="D494" s="4">
        <v>43451</v>
      </c>
      <c r="E494" t="s">
        <v>342</v>
      </c>
      <c r="F494" s="11" t="s">
        <v>4</v>
      </c>
      <c r="G494" s="10">
        <v>840000</v>
      </c>
    </row>
    <row r="495" spans="1:7" x14ac:dyDescent="0.35">
      <c r="A495" s="8" t="s">
        <v>343</v>
      </c>
      <c r="B495" s="9" t="s">
        <v>344</v>
      </c>
      <c r="C495" s="4">
        <v>43269</v>
      </c>
      <c r="D495" s="4">
        <v>43448</v>
      </c>
      <c r="E495" t="s">
        <v>342</v>
      </c>
      <c r="F495" s="9" t="s">
        <v>4</v>
      </c>
      <c r="G495" s="10">
        <v>1000000</v>
      </c>
    </row>
    <row r="496" spans="1:7" x14ac:dyDescent="0.35">
      <c r="A496" s="8" t="s">
        <v>388</v>
      </c>
      <c r="B496" s="9" t="s">
        <v>389</v>
      </c>
      <c r="C496" s="4">
        <v>43269</v>
      </c>
      <c r="D496" s="4">
        <v>43620</v>
      </c>
      <c r="E496" t="s">
        <v>290</v>
      </c>
      <c r="F496" s="9" t="s">
        <v>4</v>
      </c>
      <c r="G496" s="10">
        <v>3300000</v>
      </c>
    </row>
    <row r="497" spans="1:7" x14ac:dyDescent="0.35">
      <c r="A497" s="8" t="s">
        <v>306</v>
      </c>
      <c r="B497" s="9" t="s">
        <v>307</v>
      </c>
      <c r="C497" s="4">
        <v>43269</v>
      </c>
      <c r="D497" s="4">
        <v>43543</v>
      </c>
      <c r="E497" t="s">
        <v>308</v>
      </c>
      <c r="F497" s="11" t="s">
        <v>4</v>
      </c>
      <c r="G497" s="10">
        <v>102000</v>
      </c>
    </row>
    <row r="498" spans="1:7" x14ac:dyDescent="0.35">
      <c r="A498" s="8" t="s">
        <v>304</v>
      </c>
      <c r="B498" s="9" t="s">
        <v>2569</v>
      </c>
      <c r="C498" s="4">
        <v>43269</v>
      </c>
      <c r="D498" s="4"/>
      <c r="E498" t="s">
        <v>308</v>
      </c>
      <c r="F498" s="11" t="s">
        <v>4</v>
      </c>
      <c r="G498" s="10">
        <v>52000</v>
      </c>
    </row>
    <row r="499" spans="1:7" x14ac:dyDescent="0.35">
      <c r="A499" s="8" t="s">
        <v>305</v>
      </c>
      <c r="B499" s="9" t="s">
        <v>2569</v>
      </c>
      <c r="C499" s="4">
        <v>43269</v>
      </c>
      <c r="D499" s="4"/>
      <c r="E499" t="s">
        <v>308</v>
      </c>
      <c r="F499" s="11" t="s">
        <v>4</v>
      </c>
      <c r="G499" s="10">
        <v>96000</v>
      </c>
    </row>
    <row r="500" spans="1:7" x14ac:dyDescent="0.35">
      <c r="A500" s="8" t="s">
        <v>326</v>
      </c>
      <c r="B500" s="9" t="s">
        <v>327</v>
      </c>
      <c r="C500" s="4">
        <v>43269</v>
      </c>
      <c r="D500" s="4">
        <v>43343</v>
      </c>
      <c r="E500" t="s">
        <v>328</v>
      </c>
      <c r="F500" s="11" t="s">
        <v>4</v>
      </c>
      <c r="G500" s="10">
        <v>200000</v>
      </c>
    </row>
    <row r="501" spans="1:7" x14ac:dyDescent="0.35">
      <c r="A501" s="8" t="s">
        <v>329</v>
      </c>
      <c r="B501" s="9" t="s">
        <v>330</v>
      </c>
      <c r="C501" s="4">
        <v>43269</v>
      </c>
      <c r="D501" s="4">
        <v>43474</v>
      </c>
      <c r="E501" t="s">
        <v>328</v>
      </c>
      <c r="F501" s="11" t="s">
        <v>4</v>
      </c>
      <c r="G501" s="10">
        <v>900000</v>
      </c>
    </row>
    <row r="502" spans="1:7" x14ac:dyDescent="0.35">
      <c r="A502" s="8" t="s">
        <v>309</v>
      </c>
      <c r="B502" s="9" t="s">
        <v>310</v>
      </c>
      <c r="C502" s="4">
        <v>43269</v>
      </c>
      <c r="D502" s="4">
        <v>43481</v>
      </c>
      <c r="E502" t="s">
        <v>311</v>
      </c>
      <c r="F502" s="11" t="s">
        <v>4</v>
      </c>
      <c r="G502" s="10">
        <v>150000</v>
      </c>
    </row>
    <row r="503" spans="1:7" x14ac:dyDescent="0.35">
      <c r="A503" s="8" t="s">
        <v>312</v>
      </c>
      <c r="B503" s="9" t="s">
        <v>313</v>
      </c>
      <c r="C503" s="4">
        <v>43269</v>
      </c>
      <c r="D503" s="4">
        <v>43481</v>
      </c>
      <c r="E503" t="s">
        <v>311</v>
      </c>
      <c r="F503" s="11" t="s">
        <v>4</v>
      </c>
      <c r="G503" s="10">
        <v>150000</v>
      </c>
    </row>
    <row r="504" spans="1:7" x14ac:dyDescent="0.35">
      <c r="A504" s="8" t="s">
        <v>314</v>
      </c>
      <c r="B504" s="9" t="s">
        <v>315</v>
      </c>
      <c r="C504" s="4">
        <v>43269</v>
      </c>
      <c r="D504" s="4">
        <v>43481</v>
      </c>
      <c r="E504" t="s">
        <v>311</v>
      </c>
      <c r="F504" s="11" t="s">
        <v>4</v>
      </c>
      <c r="G504" s="10">
        <v>200000</v>
      </c>
    </row>
    <row r="505" spans="1:7" x14ac:dyDescent="0.35">
      <c r="A505" s="8" t="s">
        <v>334</v>
      </c>
      <c r="B505" s="9" t="s">
        <v>335</v>
      </c>
      <c r="C505" s="4">
        <v>43269</v>
      </c>
      <c r="D505" s="4">
        <v>43522</v>
      </c>
      <c r="E505" t="s">
        <v>333</v>
      </c>
      <c r="F505" s="11" t="s">
        <v>4</v>
      </c>
      <c r="G505" s="10">
        <v>200000</v>
      </c>
    </row>
    <row r="506" spans="1:7" x14ac:dyDescent="0.35">
      <c r="A506" s="8" t="s">
        <v>331</v>
      </c>
      <c r="B506" s="9" t="s">
        <v>332</v>
      </c>
      <c r="C506" s="4">
        <v>43269</v>
      </c>
      <c r="D506" s="4">
        <v>43522</v>
      </c>
      <c r="E506" t="s">
        <v>333</v>
      </c>
      <c r="F506" s="11" t="s">
        <v>4</v>
      </c>
      <c r="G506" s="10">
        <v>200000</v>
      </c>
    </row>
    <row r="507" spans="1:7" x14ac:dyDescent="0.35">
      <c r="A507" s="8" t="s">
        <v>336</v>
      </c>
      <c r="B507" s="9" t="s">
        <v>337</v>
      </c>
      <c r="C507" s="4">
        <v>43269</v>
      </c>
      <c r="D507" s="4">
        <v>43522</v>
      </c>
      <c r="E507" t="s">
        <v>333</v>
      </c>
      <c r="F507" s="11" t="s">
        <v>4</v>
      </c>
      <c r="G507" s="10">
        <v>10000</v>
      </c>
    </row>
    <row r="508" spans="1:7" x14ac:dyDescent="0.35">
      <c r="A508" s="8" t="s">
        <v>338</v>
      </c>
      <c r="B508" s="9" t="s">
        <v>339</v>
      </c>
      <c r="C508" s="4">
        <v>43269</v>
      </c>
      <c r="D508" s="4">
        <v>43522</v>
      </c>
      <c r="E508" t="s">
        <v>333</v>
      </c>
      <c r="F508" s="11" t="s">
        <v>4</v>
      </c>
      <c r="G508" s="10">
        <v>500000</v>
      </c>
    </row>
    <row r="509" spans="1:7" x14ac:dyDescent="0.35">
      <c r="A509" s="8" t="s">
        <v>345</v>
      </c>
      <c r="B509" s="9" t="s">
        <v>346</v>
      </c>
      <c r="C509" s="4">
        <v>43269</v>
      </c>
      <c r="D509" s="4">
        <v>43433</v>
      </c>
      <c r="E509" t="s">
        <v>347</v>
      </c>
      <c r="F509" s="9" t="s">
        <v>4</v>
      </c>
      <c r="G509" s="10">
        <v>37473.69</v>
      </c>
    </row>
    <row r="510" spans="1:7" x14ac:dyDescent="0.35">
      <c r="A510" s="8" t="s">
        <v>1574</v>
      </c>
      <c r="B510" s="9" t="s">
        <v>1575</v>
      </c>
      <c r="C510" s="4">
        <v>43278</v>
      </c>
      <c r="D510" s="4">
        <v>43437</v>
      </c>
      <c r="E510" t="s">
        <v>1576</v>
      </c>
      <c r="F510" s="9" t="s">
        <v>5</v>
      </c>
      <c r="G510" s="10">
        <v>224000</v>
      </c>
    </row>
    <row r="511" spans="1:7" x14ac:dyDescent="0.35">
      <c r="A511" s="8" t="s">
        <v>351</v>
      </c>
      <c r="B511" s="9" t="s">
        <v>2569</v>
      </c>
      <c r="C511" s="4">
        <v>43281</v>
      </c>
      <c r="D511" s="4"/>
      <c r="E511" t="s">
        <v>2545</v>
      </c>
      <c r="F511" s="9" t="s">
        <v>4</v>
      </c>
      <c r="G511" s="10">
        <v>15697509.99</v>
      </c>
    </row>
    <row r="512" spans="1:7" x14ac:dyDescent="0.35">
      <c r="A512" s="8" t="s">
        <v>511</v>
      </c>
      <c r="B512" s="9" t="s">
        <v>512</v>
      </c>
      <c r="C512" s="4">
        <v>43281</v>
      </c>
      <c r="D512" s="4">
        <v>43210</v>
      </c>
      <c r="E512" t="s">
        <v>230</v>
      </c>
      <c r="F512" s="9" t="s">
        <v>4</v>
      </c>
      <c r="G512" s="10">
        <v>11582</v>
      </c>
    </row>
    <row r="513" spans="1:7" x14ac:dyDescent="0.35">
      <c r="A513" s="8" t="s">
        <v>2029</v>
      </c>
      <c r="B513" s="9" t="s">
        <v>512</v>
      </c>
      <c r="C513" s="4">
        <v>43281</v>
      </c>
      <c r="D513" s="4">
        <v>43210</v>
      </c>
      <c r="E513" t="s">
        <v>1309</v>
      </c>
      <c r="F513" s="9" t="s">
        <v>5</v>
      </c>
      <c r="G513" s="10">
        <v>7220</v>
      </c>
    </row>
    <row r="514" spans="1:7" x14ac:dyDescent="0.35">
      <c r="A514" s="8" t="s">
        <v>362</v>
      </c>
      <c r="B514" s="9" t="s">
        <v>363</v>
      </c>
      <c r="C514" s="4">
        <v>43287</v>
      </c>
      <c r="D514" s="4">
        <v>43318</v>
      </c>
      <c r="E514" t="s">
        <v>211</v>
      </c>
      <c r="F514" s="9" t="s">
        <v>4</v>
      </c>
      <c r="G514" s="10">
        <v>34125</v>
      </c>
    </row>
    <row r="515" spans="1:7" x14ac:dyDescent="0.35">
      <c r="A515" s="8" t="s">
        <v>352</v>
      </c>
      <c r="B515" s="9" t="s">
        <v>353</v>
      </c>
      <c r="C515" s="4">
        <v>43287</v>
      </c>
      <c r="D515" s="4">
        <v>43562</v>
      </c>
      <c r="E515" t="s">
        <v>354</v>
      </c>
      <c r="F515" s="9" t="s">
        <v>4</v>
      </c>
      <c r="G515" s="10">
        <v>1500000</v>
      </c>
    </row>
    <row r="516" spans="1:7" x14ac:dyDescent="0.35">
      <c r="A516" s="8" t="s">
        <v>355</v>
      </c>
      <c r="B516" s="9" t="s">
        <v>356</v>
      </c>
      <c r="C516" s="4">
        <v>43287</v>
      </c>
      <c r="D516" s="4">
        <v>43572</v>
      </c>
      <c r="E516" t="s">
        <v>354</v>
      </c>
      <c r="F516" s="9" t="s">
        <v>4</v>
      </c>
      <c r="G516" s="10">
        <v>2500000</v>
      </c>
    </row>
    <row r="517" spans="1:7" x14ac:dyDescent="0.35">
      <c r="A517" s="8" t="s">
        <v>357</v>
      </c>
      <c r="B517" s="9" t="s">
        <v>358</v>
      </c>
      <c r="C517" s="4">
        <v>43287</v>
      </c>
      <c r="D517" s="4">
        <v>43697</v>
      </c>
      <c r="E517" t="s">
        <v>359</v>
      </c>
      <c r="F517" s="9" t="s">
        <v>4</v>
      </c>
      <c r="G517" s="10">
        <v>1650000</v>
      </c>
    </row>
    <row r="518" spans="1:7" x14ac:dyDescent="0.35">
      <c r="A518" s="8" t="s">
        <v>360</v>
      </c>
      <c r="B518" s="9" t="s">
        <v>361</v>
      </c>
      <c r="C518" s="4">
        <v>43287</v>
      </c>
      <c r="D518" s="4">
        <v>43717</v>
      </c>
      <c r="E518" t="s">
        <v>359</v>
      </c>
      <c r="F518" s="9" t="s">
        <v>4</v>
      </c>
      <c r="G518" s="10">
        <v>7100000</v>
      </c>
    </row>
    <row r="519" spans="1:7" x14ac:dyDescent="0.35">
      <c r="A519" s="8" t="s">
        <v>1660</v>
      </c>
      <c r="B519" s="9" t="s">
        <v>2569</v>
      </c>
      <c r="C519" s="4">
        <v>43293</v>
      </c>
      <c r="D519" s="4"/>
      <c r="E519" t="s">
        <v>1659</v>
      </c>
      <c r="F519" s="9" t="s">
        <v>5</v>
      </c>
      <c r="G519" s="10">
        <v>5000</v>
      </c>
    </row>
    <row r="520" spans="1:7" x14ac:dyDescent="0.35">
      <c r="A520" s="8" t="s">
        <v>1658</v>
      </c>
      <c r="B520" s="9" t="s">
        <v>2569</v>
      </c>
      <c r="C520" s="4">
        <v>43293</v>
      </c>
      <c r="D520" s="4"/>
      <c r="E520" t="s">
        <v>1659</v>
      </c>
      <c r="F520" s="9" t="s">
        <v>5</v>
      </c>
      <c r="G520" s="10">
        <v>20000</v>
      </c>
    </row>
    <row r="521" spans="1:7" x14ac:dyDescent="0.35">
      <c r="A521" s="8" t="s">
        <v>1661</v>
      </c>
      <c r="B521" s="9" t="s">
        <v>1662</v>
      </c>
      <c r="C521" s="4">
        <v>43293</v>
      </c>
      <c r="D521" s="4">
        <v>43522</v>
      </c>
      <c r="E521" t="s">
        <v>1663</v>
      </c>
      <c r="F521" s="9" t="s">
        <v>5</v>
      </c>
      <c r="G521" s="10">
        <v>40000</v>
      </c>
    </row>
    <row r="522" spans="1:7" x14ac:dyDescent="0.35">
      <c r="A522" s="8" t="s">
        <v>1664</v>
      </c>
      <c r="B522" s="9" t="s">
        <v>1665</v>
      </c>
      <c r="C522" s="4">
        <v>43293</v>
      </c>
      <c r="D522" s="4">
        <v>43522</v>
      </c>
      <c r="E522" t="s">
        <v>1663</v>
      </c>
      <c r="F522" s="9" t="s">
        <v>5</v>
      </c>
      <c r="G522" s="10">
        <v>75000</v>
      </c>
    </row>
    <row r="523" spans="1:7" x14ac:dyDescent="0.35">
      <c r="A523" s="8" t="s">
        <v>1666</v>
      </c>
      <c r="B523" s="9" t="s">
        <v>2569</v>
      </c>
      <c r="C523" s="4">
        <v>43293</v>
      </c>
      <c r="D523" s="4"/>
      <c r="E523" t="s">
        <v>1667</v>
      </c>
      <c r="F523" s="9" t="s">
        <v>5</v>
      </c>
      <c r="G523" s="10">
        <v>5000</v>
      </c>
    </row>
    <row r="524" spans="1:7" x14ac:dyDescent="0.35">
      <c r="A524" s="8" t="s">
        <v>1668</v>
      </c>
      <c r="B524" s="9" t="s">
        <v>1669</v>
      </c>
      <c r="C524" s="4">
        <v>43301</v>
      </c>
      <c r="D524" s="4">
        <v>43357</v>
      </c>
      <c r="E524" t="s">
        <v>1670</v>
      </c>
      <c r="F524" s="9" t="s">
        <v>5</v>
      </c>
      <c r="G524" s="10">
        <v>6000</v>
      </c>
    </row>
    <row r="525" spans="1:7" x14ac:dyDescent="0.35">
      <c r="A525" s="8" t="s">
        <v>1671</v>
      </c>
      <c r="B525" s="9" t="s">
        <v>1672</v>
      </c>
      <c r="C525" s="4">
        <v>43301</v>
      </c>
      <c r="D525" s="4">
        <v>43620</v>
      </c>
      <c r="E525" t="s">
        <v>197</v>
      </c>
      <c r="F525" s="9" t="s">
        <v>5</v>
      </c>
      <c r="G525" s="10">
        <v>80850</v>
      </c>
    </row>
    <row r="526" spans="1:7" x14ac:dyDescent="0.35">
      <c r="A526" s="8" t="s">
        <v>1847</v>
      </c>
      <c r="B526" s="9" t="s">
        <v>1853</v>
      </c>
      <c r="C526" s="4">
        <v>43306</v>
      </c>
      <c r="D526" s="4">
        <v>43635</v>
      </c>
      <c r="E526" t="s">
        <v>1069</v>
      </c>
      <c r="F526" s="9" t="s">
        <v>5</v>
      </c>
      <c r="G526" s="10">
        <v>50000</v>
      </c>
    </row>
    <row r="527" spans="1:7" x14ac:dyDescent="0.35">
      <c r="A527" s="8" t="s">
        <v>1677</v>
      </c>
      <c r="B527" s="9" t="s">
        <v>1682</v>
      </c>
      <c r="C527" s="4">
        <v>43306</v>
      </c>
      <c r="D527" s="4">
        <v>43606</v>
      </c>
      <c r="E527" t="s">
        <v>1683</v>
      </c>
      <c r="F527" s="9" t="s">
        <v>5</v>
      </c>
      <c r="G527" s="10">
        <v>16800</v>
      </c>
    </row>
    <row r="528" spans="1:7" x14ac:dyDescent="0.35">
      <c r="A528" s="8" t="s">
        <v>1799</v>
      </c>
      <c r="B528" s="9" t="s">
        <v>1805</v>
      </c>
      <c r="C528" s="4">
        <v>43306</v>
      </c>
      <c r="D528" s="4">
        <v>43501</v>
      </c>
      <c r="E528" t="s">
        <v>1806</v>
      </c>
      <c r="F528" s="9" t="s">
        <v>5</v>
      </c>
      <c r="G528" s="10">
        <v>769.38</v>
      </c>
    </row>
    <row r="529" spans="1:7" x14ac:dyDescent="0.35">
      <c r="A529" s="8" t="s">
        <v>1690</v>
      </c>
      <c r="B529" s="9" t="s">
        <v>1779</v>
      </c>
      <c r="C529" s="4">
        <v>43306</v>
      </c>
      <c r="D529" s="4">
        <v>43397</v>
      </c>
      <c r="E529" t="s">
        <v>1780</v>
      </c>
      <c r="F529" s="9" t="s">
        <v>5</v>
      </c>
      <c r="G529" s="10">
        <v>3395</v>
      </c>
    </row>
    <row r="530" spans="1:7" x14ac:dyDescent="0.35">
      <c r="A530" s="8" t="s">
        <v>1690</v>
      </c>
      <c r="B530" s="9" t="s">
        <v>1733</v>
      </c>
      <c r="C530" s="4">
        <v>43306</v>
      </c>
      <c r="D530" s="4">
        <v>43353</v>
      </c>
      <c r="E530" t="s">
        <v>930</v>
      </c>
      <c r="F530" s="9" t="s">
        <v>5</v>
      </c>
      <c r="G530" s="10">
        <v>1260</v>
      </c>
    </row>
    <row r="531" spans="1:7" x14ac:dyDescent="0.35">
      <c r="A531" s="8" t="s">
        <v>1690</v>
      </c>
      <c r="B531" s="9" t="s">
        <v>1732</v>
      </c>
      <c r="C531" s="4">
        <v>43306</v>
      </c>
      <c r="D531" s="4">
        <v>43353</v>
      </c>
      <c r="E531" t="s">
        <v>138</v>
      </c>
      <c r="F531" s="9" t="s">
        <v>5</v>
      </c>
      <c r="G531" s="10">
        <v>1260</v>
      </c>
    </row>
    <row r="532" spans="1:7" x14ac:dyDescent="0.35">
      <c r="A532" s="8" t="s">
        <v>1690</v>
      </c>
      <c r="B532" s="9" t="s">
        <v>1742</v>
      </c>
      <c r="C532" s="4">
        <v>43306</v>
      </c>
      <c r="D532" s="4">
        <v>43517</v>
      </c>
      <c r="E532" t="s">
        <v>138</v>
      </c>
      <c r="F532" s="9" t="s">
        <v>5</v>
      </c>
      <c r="G532" s="10">
        <v>1260</v>
      </c>
    </row>
    <row r="533" spans="1:7" x14ac:dyDescent="0.35">
      <c r="A533" s="8" t="s">
        <v>1690</v>
      </c>
      <c r="B533" s="9" t="s">
        <v>1716</v>
      </c>
      <c r="C533" s="4">
        <v>43306</v>
      </c>
      <c r="D533" s="4">
        <v>43553</v>
      </c>
      <c r="E533" t="s">
        <v>1717</v>
      </c>
      <c r="F533" s="9" t="s">
        <v>5</v>
      </c>
      <c r="G533" s="10">
        <v>1050</v>
      </c>
    </row>
    <row r="534" spans="1:7" x14ac:dyDescent="0.35">
      <c r="A534" s="8" t="s">
        <v>1677</v>
      </c>
      <c r="B534" s="9" t="s">
        <v>1686</v>
      </c>
      <c r="C534" s="4">
        <v>43306</v>
      </c>
      <c r="D534" s="4">
        <v>43644</v>
      </c>
      <c r="E534" t="s">
        <v>1077</v>
      </c>
      <c r="F534" s="9" t="s">
        <v>5</v>
      </c>
      <c r="G534" s="10">
        <v>47642.8</v>
      </c>
    </row>
    <row r="535" spans="1:7" x14ac:dyDescent="0.35">
      <c r="A535" s="8" t="s">
        <v>1690</v>
      </c>
      <c r="B535" s="9" t="s">
        <v>1697</v>
      </c>
      <c r="C535" s="4">
        <v>43306</v>
      </c>
      <c r="D535" s="4">
        <v>43614</v>
      </c>
      <c r="E535" t="s">
        <v>1698</v>
      </c>
      <c r="F535" s="9" t="s">
        <v>5</v>
      </c>
      <c r="G535" s="10">
        <v>320</v>
      </c>
    </row>
    <row r="536" spans="1:7" x14ac:dyDescent="0.35">
      <c r="A536" s="8" t="s">
        <v>1690</v>
      </c>
      <c r="B536" s="9" t="s">
        <v>1750</v>
      </c>
      <c r="C536" s="4">
        <v>43306</v>
      </c>
      <c r="D536" s="4">
        <v>43517</v>
      </c>
      <c r="E536" t="s">
        <v>1751</v>
      </c>
      <c r="F536" s="9" t="s">
        <v>5</v>
      </c>
      <c r="G536" s="10">
        <v>1260</v>
      </c>
    </row>
    <row r="537" spans="1:7" x14ac:dyDescent="0.35">
      <c r="A537" s="8" t="s">
        <v>1690</v>
      </c>
      <c r="B537" s="9" t="s">
        <v>1695</v>
      </c>
      <c r="C537" s="4">
        <v>43306</v>
      </c>
      <c r="D537" s="4">
        <v>43614</v>
      </c>
      <c r="E537" t="s">
        <v>1696</v>
      </c>
      <c r="F537" s="9" t="s">
        <v>5</v>
      </c>
      <c r="G537" s="10">
        <v>320</v>
      </c>
    </row>
    <row r="538" spans="1:7" x14ac:dyDescent="0.35">
      <c r="A538" s="8" t="s">
        <v>1677</v>
      </c>
      <c r="B538" s="9" t="s">
        <v>1684</v>
      </c>
      <c r="C538" s="4">
        <v>43306</v>
      </c>
      <c r="D538" s="4">
        <v>43644</v>
      </c>
      <c r="E538" t="s">
        <v>1685</v>
      </c>
      <c r="F538" s="9" t="s">
        <v>5</v>
      </c>
      <c r="G538" s="10">
        <v>20172</v>
      </c>
    </row>
    <row r="539" spans="1:7" x14ac:dyDescent="0.35">
      <c r="A539" s="8" t="s">
        <v>366</v>
      </c>
      <c r="B539" s="9" t="s">
        <v>367</v>
      </c>
      <c r="C539" s="4">
        <v>43306</v>
      </c>
      <c r="D539" s="4">
        <v>43447</v>
      </c>
      <c r="E539" t="s">
        <v>368</v>
      </c>
      <c r="F539" s="9" t="s">
        <v>4</v>
      </c>
      <c r="G539" s="10">
        <v>50000</v>
      </c>
    </row>
    <row r="540" spans="1:7" x14ac:dyDescent="0.35">
      <c r="A540" s="8" t="s">
        <v>1799</v>
      </c>
      <c r="B540" s="9" t="s">
        <v>1801</v>
      </c>
      <c r="C540" s="4">
        <v>43306</v>
      </c>
      <c r="D540" s="4">
        <v>43565</v>
      </c>
      <c r="E540" t="s">
        <v>1802</v>
      </c>
      <c r="F540" s="9" t="s">
        <v>5</v>
      </c>
      <c r="G540" s="10">
        <v>717.93</v>
      </c>
    </row>
    <row r="541" spans="1:7" x14ac:dyDescent="0.35">
      <c r="A541" s="8" t="s">
        <v>1799</v>
      </c>
      <c r="B541" s="9" t="s">
        <v>1807</v>
      </c>
      <c r="C541" s="4">
        <v>43306</v>
      </c>
      <c r="D541" s="4">
        <v>43564</v>
      </c>
      <c r="E541" t="s">
        <v>869</v>
      </c>
      <c r="F541" s="9" t="s">
        <v>5</v>
      </c>
      <c r="G541" s="10">
        <v>803.92</v>
      </c>
    </row>
    <row r="542" spans="1:7" x14ac:dyDescent="0.35">
      <c r="A542" s="8" t="s">
        <v>1690</v>
      </c>
      <c r="B542" s="9" t="s">
        <v>1711</v>
      </c>
      <c r="C542" s="4">
        <v>43306</v>
      </c>
      <c r="D542" s="4">
        <v>43522</v>
      </c>
      <c r="E542" t="s">
        <v>1160</v>
      </c>
      <c r="F542" s="9" t="s">
        <v>5</v>
      </c>
      <c r="G542" s="10">
        <v>990</v>
      </c>
    </row>
    <row r="543" spans="1:7" x14ac:dyDescent="0.35">
      <c r="A543" s="8" t="s">
        <v>1690</v>
      </c>
      <c r="B543" s="9" t="s">
        <v>1705</v>
      </c>
      <c r="C543" s="4">
        <v>43306</v>
      </c>
      <c r="D543" s="4">
        <v>43553</v>
      </c>
      <c r="E543" t="s">
        <v>1706</v>
      </c>
      <c r="F543" s="9" t="s">
        <v>5</v>
      </c>
      <c r="G543" s="10">
        <v>840</v>
      </c>
    </row>
    <row r="544" spans="1:7" x14ac:dyDescent="0.35">
      <c r="A544" s="8" t="s">
        <v>1799</v>
      </c>
      <c r="B544" s="9" t="s">
        <v>1810</v>
      </c>
      <c r="C544" s="4">
        <v>43306</v>
      </c>
      <c r="D544" s="4">
        <v>43567</v>
      </c>
      <c r="E544" t="s">
        <v>1811</v>
      </c>
      <c r="F544" s="9" t="s">
        <v>5</v>
      </c>
      <c r="G544" s="10">
        <v>872.44</v>
      </c>
    </row>
    <row r="545" spans="1:7" x14ac:dyDescent="0.35">
      <c r="A545" s="8" t="s">
        <v>1690</v>
      </c>
      <c r="B545" s="9" t="s">
        <v>1747</v>
      </c>
      <c r="C545" s="4">
        <v>43306</v>
      </c>
      <c r="D545" s="4">
        <v>43517</v>
      </c>
      <c r="E545" t="s">
        <v>25</v>
      </c>
      <c r="F545" s="9" t="s">
        <v>5</v>
      </c>
      <c r="G545" s="10">
        <v>1260</v>
      </c>
    </row>
    <row r="546" spans="1:7" x14ac:dyDescent="0.35">
      <c r="A546" s="8" t="s">
        <v>1838</v>
      </c>
      <c r="B546" s="9" t="s">
        <v>1841</v>
      </c>
      <c r="C546" s="4">
        <v>43306</v>
      </c>
      <c r="D546" s="4">
        <v>43644</v>
      </c>
      <c r="E546" t="s">
        <v>25</v>
      </c>
      <c r="F546" s="9" t="s">
        <v>5</v>
      </c>
      <c r="G546" s="10">
        <v>1080</v>
      </c>
    </row>
    <row r="547" spans="1:7" x14ac:dyDescent="0.35">
      <c r="A547" s="8" t="s">
        <v>1690</v>
      </c>
      <c r="B547" s="9" t="s">
        <v>1740</v>
      </c>
      <c r="C547" s="4">
        <v>43306</v>
      </c>
      <c r="D547" s="4">
        <v>43353</v>
      </c>
      <c r="E547" t="s">
        <v>31</v>
      </c>
      <c r="F547" s="9" t="s">
        <v>5</v>
      </c>
      <c r="G547" s="10">
        <v>1260</v>
      </c>
    </row>
    <row r="548" spans="1:7" x14ac:dyDescent="0.35">
      <c r="A548" s="8" t="s">
        <v>1690</v>
      </c>
      <c r="B548" s="9" t="s">
        <v>1795</v>
      </c>
      <c r="C548" s="4">
        <v>43306</v>
      </c>
      <c r="D548" s="4">
        <v>43614</v>
      </c>
      <c r="E548" t="s">
        <v>982</v>
      </c>
      <c r="F548" s="9" t="s">
        <v>5</v>
      </c>
      <c r="G548" s="10">
        <v>8050</v>
      </c>
    </row>
    <row r="549" spans="1:7" x14ac:dyDescent="0.35">
      <c r="A549" s="8" t="s">
        <v>1799</v>
      </c>
      <c r="B549" s="9" t="s">
        <v>1818</v>
      </c>
      <c r="C549" s="4">
        <v>43306</v>
      </c>
      <c r="D549" s="4">
        <v>43516</v>
      </c>
      <c r="E549" t="s">
        <v>1819</v>
      </c>
      <c r="F549" s="9" t="s">
        <v>5</v>
      </c>
      <c r="G549" s="10">
        <v>977.5</v>
      </c>
    </row>
    <row r="550" spans="1:7" x14ac:dyDescent="0.35">
      <c r="A550" s="8" t="s">
        <v>1690</v>
      </c>
      <c r="B550" s="9" t="s">
        <v>1778</v>
      </c>
      <c r="C550" s="4">
        <v>43306</v>
      </c>
      <c r="D550" s="4">
        <v>43336</v>
      </c>
      <c r="E550" t="s">
        <v>21</v>
      </c>
      <c r="F550" s="9" t="s">
        <v>5</v>
      </c>
      <c r="G550" s="10">
        <v>2780</v>
      </c>
    </row>
    <row r="551" spans="1:7" x14ac:dyDescent="0.35">
      <c r="A551" s="8" t="s">
        <v>1690</v>
      </c>
      <c r="B551" s="9" t="s">
        <v>1786</v>
      </c>
      <c r="C551" s="4">
        <v>43306</v>
      </c>
      <c r="D551" s="4">
        <v>43421</v>
      </c>
      <c r="E551" t="s">
        <v>61</v>
      </c>
      <c r="F551" s="9" t="s">
        <v>5</v>
      </c>
      <c r="G551" s="10">
        <v>4000</v>
      </c>
    </row>
    <row r="552" spans="1:7" x14ac:dyDescent="0.35">
      <c r="A552" s="8" t="s">
        <v>1690</v>
      </c>
      <c r="B552" s="9" t="s">
        <v>1796</v>
      </c>
      <c r="C552" s="4">
        <v>43306</v>
      </c>
      <c r="D552" s="4">
        <v>43657</v>
      </c>
      <c r="E552" t="s">
        <v>980</v>
      </c>
      <c r="F552" s="9" t="s">
        <v>5</v>
      </c>
      <c r="G552" s="10">
        <v>8060</v>
      </c>
    </row>
    <row r="553" spans="1:7" x14ac:dyDescent="0.35">
      <c r="A553" s="8" t="s">
        <v>1847</v>
      </c>
      <c r="B553" s="9" t="s">
        <v>1848</v>
      </c>
      <c r="C553" s="4">
        <v>43306</v>
      </c>
      <c r="D553" s="4">
        <v>43644</v>
      </c>
      <c r="E553" t="s">
        <v>1849</v>
      </c>
      <c r="F553" s="9" t="s">
        <v>5</v>
      </c>
      <c r="G553" s="10">
        <v>30252.5</v>
      </c>
    </row>
    <row r="554" spans="1:7" x14ac:dyDescent="0.35">
      <c r="A554" s="8" t="s">
        <v>1690</v>
      </c>
      <c r="B554" s="9" t="s">
        <v>1766</v>
      </c>
      <c r="C554" s="4">
        <v>43306</v>
      </c>
      <c r="D554" s="4">
        <v>43455</v>
      </c>
      <c r="E554" t="s">
        <v>970</v>
      </c>
      <c r="F554" s="9" t="s">
        <v>5</v>
      </c>
      <c r="G554" s="10">
        <v>1985</v>
      </c>
    </row>
    <row r="555" spans="1:7" x14ac:dyDescent="0.35">
      <c r="A555" s="8" t="s">
        <v>1690</v>
      </c>
      <c r="B555" s="9" t="s">
        <v>1718</v>
      </c>
      <c r="C555" s="4">
        <v>43306</v>
      </c>
      <c r="D555" s="4">
        <v>43553</v>
      </c>
      <c r="E555" t="s">
        <v>1719</v>
      </c>
      <c r="F555" s="9" t="s">
        <v>5</v>
      </c>
      <c r="G555" s="10">
        <v>1050</v>
      </c>
    </row>
    <row r="556" spans="1:7" x14ac:dyDescent="0.35">
      <c r="A556" s="8" t="s">
        <v>1799</v>
      </c>
      <c r="B556" s="9" t="s">
        <v>1822</v>
      </c>
      <c r="C556" s="4">
        <v>43306</v>
      </c>
      <c r="D556" s="4">
        <v>43507</v>
      </c>
      <c r="E556" t="s">
        <v>1823</v>
      </c>
      <c r="F556" s="9" t="s">
        <v>5</v>
      </c>
      <c r="G556" s="10">
        <v>991.5</v>
      </c>
    </row>
    <row r="557" spans="1:7" x14ac:dyDescent="0.35">
      <c r="A557" s="8" t="s">
        <v>1799</v>
      </c>
      <c r="B557" s="9" t="s">
        <v>1824</v>
      </c>
      <c r="C557" s="4">
        <v>43306</v>
      </c>
      <c r="D557" s="4">
        <v>43626</v>
      </c>
      <c r="E557" t="s">
        <v>1825</v>
      </c>
      <c r="F557" s="9" t="s">
        <v>5</v>
      </c>
      <c r="G557" s="10">
        <v>998.09</v>
      </c>
    </row>
    <row r="558" spans="1:7" x14ac:dyDescent="0.35">
      <c r="A558" s="8" t="s">
        <v>1799</v>
      </c>
      <c r="B558" s="9" t="s">
        <v>1826</v>
      </c>
      <c r="C558" s="4">
        <v>43306</v>
      </c>
      <c r="D558" s="4">
        <v>43362</v>
      </c>
      <c r="E558" t="s">
        <v>1827</v>
      </c>
      <c r="F558" s="9" t="s">
        <v>5</v>
      </c>
      <c r="G558" s="10">
        <v>1000</v>
      </c>
    </row>
    <row r="559" spans="1:7" x14ac:dyDescent="0.35">
      <c r="A559" s="8" t="s">
        <v>1847</v>
      </c>
      <c r="B559" s="9" t="s">
        <v>1852</v>
      </c>
      <c r="C559" s="4">
        <v>43306</v>
      </c>
      <c r="D559" s="4">
        <v>43613</v>
      </c>
      <c r="E559" t="s">
        <v>1071</v>
      </c>
      <c r="F559" s="9" t="s">
        <v>5</v>
      </c>
      <c r="G559" s="10">
        <v>50000</v>
      </c>
    </row>
    <row r="560" spans="1:7" x14ac:dyDescent="0.35">
      <c r="A560" s="8" t="s">
        <v>1690</v>
      </c>
      <c r="B560" s="9" t="s">
        <v>1758</v>
      </c>
      <c r="C560" s="4">
        <v>43306</v>
      </c>
      <c r="D560" s="4">
        <v>43395</v>
      </c>
      <c r="E560" t="s">
        <v>49</v>
      </c>
      <c r="F560" s="9" t="s">
        <v>5</v>
      </c>
      <c r="G560" s="10">
        <v>1370</v>
      </c>
    </row>
    <row r="561" spans="1:7" x14ac:dyDescent="0.35">
      <c r="A561" s="8" t="s">
        <v>1690</v>
      </c>
      <c r="B561" s="9" t="s">
        <v>1702</v>
      </c>
      <c r="C561" s="4">
        <v>43306</v>
      </c>
      <c r="D561" s="4">
        <v>43444</v>
      </c>
      <c r="E561" t="s">
        <v>49</v>
      </c>
      <c r="F561" s="9" t="s">
        <v>5</v>
      </c>
      <c r="G561" s="10">
        <v>350</v>
      </c>
    </row>
    <row r="562" spans="1:7" x14ac:dyDescent="0.35">
      <c r="A562" s="8" t="s">
        <v>1690</v>
      </c>
      <c r="B562" s="9" t="s">
        <v>1757</v>
      </c>
      <c r="C562" s="4">
        <v>43306</v>
      </c>
      <c r="D562" s="4">
        <v>43444</v>
      </c>
      <c r="E562" t="s">
        <v>49</v>
      </c>
      <c r="F562" s="9" t="s">
        <v>5</v>
      </c>
      <c r="G562" s="10">
        <v>1350</v>
      </c>
    </row>
    <row r="563" spans="1:7" x14ac:dyDescent="0.35">
      <c r="A563" s="8" t="s">
        <v>1690</v>
      </c>
      <c r="B563" s="9" t="s">
        <v>1765</v>
      </c>
      <c r="C563" s="4">
        <v>43306</v>
      </c>
      <c r="D563" s="4">
        <v>43490</v>
      </c>
      <c r="E563" t="s">
        <v>49</v>
      </c>
      <c r="F563" s="9" t="s">
        <v>5</v>
      </c>
      <c r="G563" s="10">
        <v>1950</v>
      </c>
    </row>
    <row r="564" spans="1:7" x14ac:dyDescent="0.35">
      <c r="A564" s="8" t="s">
        <v>1690</v>
      </c>
      <c r="B564" s="9" t="s">
        <v>1773</v>
      </c>
      <c r="C564" s="4">
        <v>43306</v>
      </c>
      <c r="D564" s="4">
        <v>43544</v>
      </c>
      <c r="E564" t="s">
        <v>49</v>
      </c>
      <c r="F564" s="9" t="s">
        <v>5</v>
      </c>
      <c r="G564" s="10">
        <v>2330</v>
      </c>
    </row>
    <row r="565" spans="1:7" x14ac:dyDescent="0.35">
      <c r="A565" s="8" t="s">
        <v>1690</v>
      </c>
      <c r="B565" s="9" t="s">
        <v>1771</v>
      </c>
      <c r="C565" s="4">
        <v>43306</v>
      </c>
      <c r="D565" s="4">
        <v>43544</v>
      </c>
      <c r="E565" t="s">
        <v>49</v>
      </c>
      <c r="F565" s="9" t="s">
        <v>5</v>
      </c>
      <c r="G565" s="10">
        <v>2235</v>
      </c>
    </row>
    <row r="566" spans="1:7" x14ac:dyDescent="0.35">
      <c r="A566" s="8" t="s">
        <v>1690</v>
      </c>
      <c r="B566" s="9" t="s">
        <v>1723</v>
      </c>
      <c r="C566" s="4">
        <v>43306</v>
      </c>
      <c r="D566" s="4">
        <v>43517</v>
      </c>
      <c r="E566" t="s">
        <v>35</v>
      </c>
      <c r="F566" s="9" t="s">
        <v>5</v>
      </c>
      <c r="G566" s="10">
        <v>1080</v>
      </c>
    </row>
    <row r="567" spans="1:7" x14ac:dyDescent="0.35">
      <c r="A567" s="8" t="s">
        <v>1847</v>
      </c>
      <c r="B567" s="9" t="s">
        <v>1855</v>
      </c>
      <c r="C567" s="4">
        <v>43306</v>
      </c>
      <c r="D567" s="4">
        <v>43644</v>
      </c>
      <c r="E567" t="s">
        <v>141</v>
      </c>
      <c r="F567" s="9" t="s">
        <v>5</v>
      </c>
      <c r="G567" s="10">
        <v>50000</v>
      </c>
    </row>
    <row r="568" spans="1:7" x14ac:dyDescent="0.35">
      <c r="A568" s="8" t="s">
        <v>1847</v>
      </c>
      <c r="B568" s="9" t="s">
        <v>1856</v>
      </c>
      <c r="C568" s="4">
        <v>43306</v>
      </c>
      <c r="D568" s="4">
        <v>43644</v>
      </c>
      <c r="E568" t="s">
        <v>1857</v>
      </c>
      <c r="F568" s="9" t="s">
        <v>5</v>
      </c>
      <c r="G568" s="10">
        <v>50000</v>
      </c>
    </row>
    <row r="569" spans="1:7" x14ac:dyDescent="0.35">
      <c r="A569" s="8" t="s">
        <v>377</v>
      </c>
      <c r="B569" s="9" t="s">
        <v>378</v>
      </c>
      <c r="C569" s="4">
        <v>43306</v>
      </c>
      <c r="D569" s="4">
        <v>43447</v>
      </c>
      <c r="E569" t="s">
        <v>379</v>
      </c>
      <c r="F569" s="9" t="s">
        <v>4</v>
      </c>
      <c r="G569" s="10">
        <v>64000</v>
      </c>
    </row>
    <row r="570" spans="1:7" x14ac:dyDescent="0.35">
      <c r="A570" s="8" t="s">
        <v>1690</v>
      </c>
      <c r="B570" s="9" t="s">
        <v>1784</v>
      </c>
      <c r="C570" s="4">
        <v>43306</v>
      </c>
      <c r="D570" s="4">
        <v>43434</v>
      </c>
      <c r="E570" t="s">
        <v>1785</v>
      </c>
      <c r="F570" s="9" t="s">
        <v>5</v>
      </c>
      <c r="G570" s="10">
        <v>3579.6</v>
      </c>
    </row>
    <row r="571" spans="1:7" x14ac:dyDescent="0.35">
      <c r="A571" s="8" t="s">
        <v>1690</v>
      </c>
      <c r="B571" s="9" t="s">
        <v>1791</v>
      </c>
      <c r="C571" s="4">
        <v>43306</v>
      </c>
      <c r="D571" s="4">
        <v>43483</v>
      </c>
      <c r="E571" t="s">
        <v>904</v>
      </c>
      <c r="F571" s="9" t="s">
        <v>5</v>
      </c>
      <c r="G571" s="10">
        <v>4860</v>
      </c>
    </row>
    <row r="572" spans="1:7" x14ac:dyDescent="0.35">
      <c r="A572" s="8" t="s">
        <v>1677</v>
      </c>
      <c r="B572" s="9" t="s">
        <v>1680</v>
      </c>
      <c r="C572" s="4">
        <v>43306</v>
      </c>
      <c r="D572" s="4">
        <v>43644</v>
      </c>
      <c r="E572" t="s">
        <v>1681</v>
      </c>
      <c r="F572" s="9" t="s">
        <v>5</v>
      </c>
      <c r="G572" s="10">
        <v>12215</v>
      </c>
    </row>
    <row r="573" spans="1:7" x14ac:dyDescent="0.35">
      <c r="A573" s="8" t="s">
        <v>1677</v>
      </c>
      <c r="B573" s="9" t="s">
        <v>1687</v>
      </c>
      <c r="C573" s="4">
        <v>43306</v>
      </c>
      <c r="D573" s="4">
        <v>43643</v>
      </c>
      <c r="E573" t="s">
        <v>1621</v>
      </c>
      <c r="F573" s="9" t="s">
        <v>5</v>
      </c>
      <c r="G573" s="10">
        <v>50000</v>
      </c>
    </row>
    <row r="574" spans="1:7" x14ac:dyDescent="0.35">
      <c r="A574" s="8" t="s">
        <v>1690</v>
      </c>
      <c r="B574" s="9" t="s">
        <v>1738</v>
      </c>
      <c r="C574" s="4">
        <v>43306</v>
      </c>
      <c r="D574" s="4">
        <v>43353</v>
      </c>
      <c r="E574" t="s">
        <v>1739</v>
      </c>
      <c r="F574" s="9" t="s">
        <v>5</v>
      </c>
      <c r="G574" s="10">
        <v>1260</v>
      </c>
    </row>
    <row r="575" spans="1:7" x14ac:dyDescent="0.35">
      <c r="A575" s="8" t="s">
        <v>1690</v>
      </c>
      <c r="B575" s="9" t="s">
        <v>1731</v>
      </c>
      <c r="C575" s="4">
        <v>43306</v>
      </c>
      <c r="D575" s="4">
        <v>43349</v>
      </c>
      <c r="E575" t="s">
        <v>1156</v>
      </c>
      <c r="F575" s="9" t="s">
        <v>5</v>
      </c>
      <c r="G575" s="10">
        <v>1260</v>
      </c>
    </row>
    <row r="576" spans="1:7" x14ac:dyDescent="0.35">
      <c r="A576" s="8" t="s">
        <v>1799</v>
      </c>
      <c r="B576" s="9" t="s">
        <v>1816</v>
      </c>
      <c r="C576" s="4">
        <v>43306</v>
      </c>
      <c r="D576" s="4">
        <v>43532</v>
      </c>
      <c r="E576" t="s">
        <v>1817</v>
      </c>
      <c r="F576" s="9" t="s">
        <v>5</v>
      </c>
      <c r="G576" s="10">
        <v>966.99</v>
      </c>
    </row>
    <row r="577" spans="1:7" x14ac:dyDescent="0.35">
      <c r="A577" s="8" t="s">
        <v>371</v>
      </c>
      <c r="B577" s="9" t="s">
        <v>372</v>
      </c>
      <c r="C577" s="4">
        <v>43306</v>
      </c>
      <c r="D577" s="4">
        <v>43644</v>
      </c>
      <c r="E577" t="s">
        <v>373</v>
      </c>
      <c r="F577" s="9" t="s">
        <v>4</v>
      </c>
      <c r="G577" s="10">
        <v>95000</v>
      </c>
    </row>
    <row r="578" spans="1:7" x14ac:dyDescent="0.35">
      <c r="A578" s="8" t="s">
        <v>1847</v>
      </c>
      <c r="B578" s="9" t="s">
        <v>1851</v>
      </c>
      <c r="C578" s="4">
        <v>43306</v>
      </c>
      <c r="D578" s="4">
        <v>43606</v>
      </c>
      <c r="E578" t="s">
        <v>1083</v>
      </c>
      <c r="F578" s="9" t="s">
        <v>5</v>
      </c>
      <c r="G578" s="10">
        <v>50000</v>
      </c>
    </row>
    <row r="579" spans="1:7" x14ac:dyDescent="0.35">
      <c r="A579" s="8" t="s">
        <v>1690</v>
      </c>
      <c r="B579" s="9" t="s">
        <v>1714</v>
      </c>
      <c r="C579" s="4">
        <v>43306</v>
      </c>
      <c r="D579" s="4">
        <v>43417</v>
      </c>
      <c r="E579" t="s">
        <v>1715</v>
      </c>
      <c r="F579" s="9" t="s">
        <v>5</v>
      </c>
      <c r="G579" s="10">
        <v>1040</v>
      </c>
    </row>
    <row r="580" spans="1:7" x14ac:dyDescent="0.35">
      <c r="A580" s="8" t="s">
        <v>1838</v>
      </c>
      <c r="B580" s="9" t="s">
        <v>1843</v>
      </c>
      <c r="C580" s="4">
        <v>43306</v>
      </c>
      <c r="D580" s="4">
        <v>43640</v>
      </c>
      <c r="E580" t="s">
        <v>1042</v>
      </c>
      <c r="F580" s="9" t="s">
        <v>5</v>
      </c>
      <c r="G580" s="10">
        <v>3400</v>
      </c>
    </row>
    <row r="581" spans="1:7" x14ac:dyDescent="0.35">
      <c r="A581" s="8" t="s">
        <v>1690</v>
      </c>
      <c r="B581" s="9" t="s">
        <v>1704</v>
      </c>
      <c r="C581" s="4">
        <v>43306</v>
      </c>
      <c r="D581" s="4">
        <v>43333</v>
      </c>
      <c r="E581" t="s">
        <v>55</v>
      </c>
      <c r="F581" s="9" t="s">
        <v>5</v>
      </c>
      <c r="G581" s="10">
        <v>500</v>
      </c>
    </row>
    <row r="582" spans="1:7" x14ac:dyDescent="0.35">
      <c r="A582" s="8" t="s">
        <v>1690</v>
      </c>
      <c r="B582" s="9" t="s">
        <v>1774</v>
      </c>
      <c r="C582" s="4">
        <v>43306</v>
      </c>
      <c r="D582" s="4">
        <v>43361</v>
      </c>
      <c r="E582" t="s">
        <v>55</v>
      </c>
      <c r="F582" s="9" t="s">
        <v>5</v>
      </c>
      <c r="G582" s="10">
        <v>2400</v>
      </c>
    </row>
    <row r="583" spans="1:7" x14ac:dyDescent="0.35">
      <c r="A583" s="8" t="s">
        <v>1690</v>
      </c>
      <c r="B583" s="9" t="s">
        <v>1787</v>
      </c>
      <c r="C583" s="4">
        <v>43306</v>
      </c>
      <c r="D583" s="4">
        <v>43487</v>
      </c>
      <c r="E583" t="s">
        <v>55</v>
      </c>
      <c r="F583" s="9" t="s">
        <v>5</v>
      </c>
      <c r="G583" s="10">
        <v>4200</v>
      </c>
    </row>
    <row r="584" spans="1:7" x14ac:dyDescent="0.35">
      <c r="A584" s="8" t="s">
        <v>1690</v>
      </c>
      <c r="B584" s="9" t="s">
        <v>1775</v>
      </c>
      <c r="C584" s="4">
        <v>43306</v>
      </c>
      <c r="D584" s="4">
        <v>43528</v>
      </c>
      <c r="E584" t="s">
        <v>55</v>
      </c>
      <c r="F584" s="9" t="s">
        <v>5</v>
      </c>
      <c r="G584" s="10">
        <v>2400</v>
      </c>
    </row>
    <row r="585" spans="1:7" x14ac:dyDescent="0.35">
      <c r="A585" s="8" t="s">
        <v>1690</v>
      </c>
      <c r="B585" s="9" t="s">
        <v>1709</v>
      </c>
      <c r="C585" s="4">
        <v>43306</v>
      </c>
      <c r="D585" s="4">
        <v>43616</v>
      </c>
      <c r="E585" t="s">
        <v>55</v>
      </c>
      <c r="F585" s="9" t="s">
        <v>5</v>
      </c>
      <c r="G585" s="10">
        <v>925</v>
      </c>
    </row>
    <row r="586" spans="1:7" x14ac:dyDescent="0.35">
      <c r="A586" s="8" t="s">
        <v>1690</v>
      </c>
      <c r="B586" s="9" t="s">
        <v>1692</v>
      </c>
      <c r="C586" s="4">
        <v>43306</v>
      </c>
      <c r="D586" s="4">
        <v>43607</v>
      </c>
      <c r="E586" t="s">
        <v>55</v>
      </c>
      <c r="F586" s="9" t="s">
        <v>5</v>
      </c>
      <c r="G586" s="10">
        <v>300</v>
      </c>
    </row>
    <row r="587" spans="1:7" x14ac:dyDescent="0.35">
      <c r="A587" s="8" t="s">
        <v>1690</v>
      </c>
      <c r="B587" s="9" t="s">
        <v>1722</v>
      </c>
      <c r="C587" s="4">
        <v>43306</v>
      </c>
      <c r="D587" s="4">
        <v>43353</v>
      </c>
      <c r="E587" t="s">
        <v>41</v>
      </c>
      <c r="F587" s="9" t="s">
        <v>5</v>
      </c>
      <c r="G587" s="10">
        <v>1080</v>
      </c>
    </row>
    <row r="588" spans="1:7" x14ac:dyDescent="0.35">
      <c r="A588" s="8" t="s">
        <v>1838</v>
      </c>
      <c r="B588" s="9" t="s">
        <v>1839</v>
      </c>
      <c r="C588" s="4">
        <v>43306</v>
      </c>
      <c r="D588" s="4">
        <v>43640</v>
      </c>
      <c r="E588" t="s">
        <v>1840</v>
      </c>
      <c r="F588" s="9" t="s">
        <v>5</v>
      </c>
      <c r="G588" s="10">
        <v>1000</v>
      </c>
    </row>
    <row r="589" spans="1:7" x14ac:dyDescent="0.35">
      <c r="A589" s="8" t="s">
        <v>1690</v>
      </c>
      <c r="B589" s="9" t="s">
        <v>1743</v>
      </c>
      <c r="C589" s="4">
        <v>43306</v>
      </c>
      <c r="D589" s="4">
        <v>43517</v>
      </c>
      <c r="E589" t="s">
        <v>43</v>
      </c>
      <c r="F589" s="9" t="s">
        <v>5</v>
      </c>
      <c r="G589" s="10">
        <v>1260</v>
      </c>
    </row>
    <row r="590" spans="1:7" x14ac:dyDescent="0.35">
      <c r="A590" s="8" t="s">
        <v>1799</v>
      </c>
      <c r="B590" s="9" t="s">
        <v>1834</v>
      </c>
      <c r="C590" s="4">
        <v>43306</v>
      </c>
      <c r="D590" s="4">
        <v>43399</v>
      </c>
      <c r="E590" t="s">
        <v>1835</v>
      </c>
      <c r="F590" s="9" t="s">
        <v>5</v>
      </c>
      <c r="G590" s="10">
        <v>2000</v>
      </c>
    </row>
    <row r="591" spans="1:7" x14ac:dyDescent="0.35">
      <c r="A591" s="8" t="s">
        <v>1690</v>
      </c>
      <c r="B591" s="9" t="s">
        <v>1736</v>
      </c>
      <c r="C591" s="4">
        <v>43306</v>
      </c>
      <c r="D591" s="4">
        <v>43353</v>
      </c>
      <c r="E591" t="s">
        <v>1737</v>
      </c>
      <c r="F591" s="9" t="s">
        <v>5</v>
      </c>
      <c r="G591" s="10">
        <v>1260</v>
      </c>
    </row>
    <row r="592" spans="1:7" x14ac:dyDescent="0.35">
      <c r="A592" s="8" t="s">
        <v>1690</v>
      </c>
      <c r="B592" s="9" t="s">
        <v>1753</v>
      </c>
      <c r="C592" s="4">
        <v>43306</v>
      </c>
      <c r="D592" s="4">
        <v>43517</v>
      </c>
      <c r="E592" t="s">
        <v>1737</v>
      </c>
      <c r="F592" s="9" t="s">
        <v>5</v>
      </c>
      <c r="G592" s="10">
        <v>1260</v>
      </c>
    </row>
    <row r="593" spans="1:7" x14ac:dyDescent="0.35">
      <c r="A593" s="8" t="s">
        <v>1690</v>
      </c>
      <c r="B593" s="9" t="s">
        <v>1764</v>
      </c>
      <c r="C593" s="4">
        <v>43306</v>
      </c>
      <c r="D593" s="4">
        <v>43543</v>
      </c>
      <c r="E593" t="s">
        <v>948</v>
      </c>
      <c r="F593" s="9" t="s">
        <v>5</v>
      </c>
      <c r="G593" s="10">
        <v>1900</v>
      </c>
    </row>
    <row r="594" spans="1:7" x14ac:dyDescent="0.35">
      <c r="A594" s="8" t="s">
        <v>374</v>
      </c>
      <c r="B594" s="9" t="s">
        <v>375</v>
      </c>
      <c r="C594" s="4">
        <v>43306</v>
      </c>
      <c r="D594" s="4">
        <v>43467</v>
      </c>
      <c r="E594" t="s">
        <v>376</v>
      </c>
      <c r="F594" s="9" t="s">
        <v>4</v>
      </c>
      <c r="G594" s="10">
        <v>198990</v>
      </c>
    </row>
    <row r="595" spans="1:7" x14ac:dyDescent="0.35">
      <c r="A595" s="8" t="s">
        <v>1799</v>
      </c>
      <c r="B595" s="9" t="s">
        <v>1800</v>
      </c>
      <c r="C595" s="4">
        <v>43306</v>
      </c>
      <c r="D595" s="4">
        <v>43558</v>
      </c>
      <c r="E595" t="s">
        <v>1018</v>
      </c>
      <c r="F595" s="9" t="s">
        <v>5</v>
      </c>
      <c r="G595" s="10">
        <v>712.39</v>
      </c>
    </row>
    <row r="596" spans="1:7" x14ac:dyDescent="0.35">
      <c r="A596" s="8" t="s">
        <v>1690</v>
      </c>
      <c r="B596" s="9" t="s">
        <v>1769</v>
      </c>
      <c r="C596" s="4">
        <v>43306</v>
      </c>
      <c r="D596" s="4">
        <v>43544</v>
      </c>
      <c r="E596" t="s">
        <v>1770</v>
      </c>
      <c r="F596" s="9" t="s">
        <v>5</v>
      </c>
      <c r="G596" s="10">
        <v>2085</v>
      </c>
    </row>
    <row r="597" spans="1:7" x14ac:dyDescent="0.35">
      <c r="A597" s="8" t="s">
        <v>364</v>
      </c>
      <c r="B597" s="9" t="s">
        <v>365</v>
      </c>
      <c r="C597" s="4">
        <v>43306</v>
      </c>
      <c r="D597" s="4">
        <v>43572</v>
      </c>
      <c r="E597" t="s">
        <v>354</v>
      </c>
      <c r="F597" s="9" t="s">
        <v>4</v>
      </c>
      <c r="G597" s="10">
        <v>14000000</v>
      </c>
    </row>
    <row r="598" spans="1:7" x14ac:dyDescent="0.35">
      <c r="A598" s="8" t="s">
        <v>1799</v>
      </c>
      <c r="B598" s="9" t="s">
        <v>1828</v>
      </c>
      <c r="C598" s="4">
        <v>43306</v>
      </c>
      <c r="D598" s="4">
        <v>43531</v>
      </c>
      <c r="E598" t="s">
        <v>1829</v>
      </c>
      <c r="F598" s="9" t="s">
        <v>5</v>
      </c>
      <c r="G598" s="10">
        <v>1000</v>
      </c>
    </row>
    <row r="599" spans="1:7" x14ac:dyDescent="0.35">
      <c r="A599" s="8" t="s">
        <v>1799</v>
      </c>
      <c r="B599" s="9" t="s">
        <v>1836</v>
      </c>
      <c r="C599" s="4">
        <v>43306</v>
      </c>
      <c r="D599" s="4">
        <v>43525</v>
      </c>
      <c r="E599" t="s">
        <v>1837</v>
      </c>
      <c r="F599" s="9" t="s">
        <v>5</v>
      </c>
      <c r="G599" s="10">
        <v>2274</v>
      </c>
    </row>
    <row r="600" spans="1:7" x14ac:dyDescent="0.35">
      <c r="A600" s="8" t="s">
        <v>1690</v>
      </c>
      <c r="B600" s="9" t="s">
        <v>1793</v>
      </c>
      <c r="C600" s="4">
        <v>43306</v>
      </c>
      <c r="D600" s="4">
        <v>43410</v>
      </c>
      <c r="E600" t="s">
        <v>64</v>
      </c>
      <c r="F600" s="9" t="s">
        <v>5</v>
      </c>
      <c r="G600" s="10">
        <v>6375</v>
      </c>
    </row>
    <row r="601" spans="1:7" x14ac:dyDescent="0.35">
      <c r="A601" s="8" t="s">
        <v>1690</v>
      </c>
      <c r="B601" s="9" t="s">
        <v>1794</v>
      </c>
      <c r="C601" s="4">
        <v>43306</v>
      </c>
      <c r="D601" s="4">
        <v>43543</v>
      </c>
      <c r="E601" t="s">
        <v>64</v>
      </c>
      <c r="F601" s="9" t="s">
        <v>5</v>
      </c>
      <c r="G601" s="10">
        <v>7016.25</v>
      </c>
    </row>
    <row r="602" spans="1:7" x14ac:dyDescent="0.35">
      <c r="A602" s="8" t="s">
        <v>1690</v>
      </c>
      <c r="B602" s="9" t="s">
        <v>1772</v>
      </c>
      <c r="C602" s="4">
        <v>43306</v>
      </c>
      <c r="D602" s="4">
        <v>43539</v>
      </c>
      <c r="E602" t="s">
        <v>973</v>
      </c>
      <c r="F602" s="9" t="s">
        <v>5</v>
      </c>
      <c r="G602" s="10">
        <v>2300</v>
      </c>
    </row>
    <row r="603" spans="1:7" x14ac:dyDescent="0.35">
      <c r="A603" s="8" t="s">
        <v>1690</v>
      </c>
      <c r="B603" s="9" t="s">
        <v>1728</v>
      </c>
      <c r="C603" s="4">
        <v>43306</v>
      </c>
      <c r="D603" s="4">
        <v>43454</v>
      </c>
      <c r="E603" t="s">
        <v>91</v>
      </c>
      <c r="F603" s="9" t="s">
        <v>5</v>
      </c>
      <c r="G603" s="10">
        <v>1123.75</v>
      </c>
    </row>
    <row r="604" spans="1:7" x14ac:dyDescent="0.35">
      <c r="A604" s="8" t="s">
        <v>1690</v>
      </c>
      <c r="B604" s="9" t="s">
        <v>1691</v>
      </c>
      <c r="C604" s="4">
        <v>43306</v>
      </c>
      <c r="D604" s="4">
        <v>43565</v>
      </c>
      <c r="E604" t="s">
        <v>91</v>
      </c>
      <c r="F604" s="9" t="s">
        <v>5</v>
      </c>
      <c r="G604" s="10">
        <v>292.5</v>
      </c>
    </row>
    <row r="605" spans="1:7" x14ac:dyDescent="0.35">
      <c r="A605" s="8" t="s">
        <v>1690</v>
      </c>
      <c r="B605" s="9" t="s">
        <v>1724</v>
      </c>
      <c r="C605" s="4">
        <v>43306</v>
      </c>
      <c r="D605" s="4">
        <v>43581</v>
      </c>
      <c r="E605" t="s">
        <v>1725</v>
      </c>
      <c r="F605" s="9" t="s">
        <v>5</v>
      </c>
      <c r="G605" s="10">
        <v>1080</v>
      </c>
    </row>
    <row r="606" spans="1:7" x14ac:dyDescent="0.35">
      <c r="A606" s="8" t="s">
        <v>1690</v>
      </c>
      <c r="B606" s="9" t="s">
        <v>1712</v>
      </c>
      <c r="C606" s="4">
        <v>43306</v>
      </c>
      <c r="D606" s="4">
        <v>43396</v>
      </c>
      <c r="E606" t="s">
        <v>1713</v>
      </c>
      <c r="F606" s="9" t="s">
        <v>5</v>
      </c>
      <c r="G606" s="10">
        <v>1000</v>
      </c>
    </row>
    <row r="607" spans="1:7" x14ac:dyDescent="0.35">
      <c r="A607" s="8" t="s">
        <v>1690</v>
      </c>
      <c r="B607" s="9" t="s">
        <v>1754</v>
      </c>
      <c r="C607" s="4">
        <v>43306</v>
      </c>
      <c r="D607" s="4">
        <v>43377</v>
      </c>
      <c r="E607" t="s">
        <v>57</v>
      </c>
      <c r="F607" s="9" t="s">
        <v>5</v>
      </c>
      <c r="G607" s="10">
        <v>1300</v>
      </c>
    </row>
    <row r="608" spans="1:7" x14ac:dyDescent="0.35">
      <c r="A608" s="8" t="s">
        <v>1690</v>
      </c>
      <c r="B608" s="9" t="s">
        <v>1763</v>
      </c>
      <c r="C608" s="4">
        <v>43306</v>
      </c>
      <c r="D608" s="4">
        <v>43551</v>
      </c>
      <c r="E608" t="s">
        <v>57</v>
      </c>
      <c r="F608" s="9" t="s">
        <v>5</v>
      </c>
      <c r="G608" s="10">
        <v>1600</v>
      </c>
    </row>
    <row r="609" spans="1:7" x14ac:dyDescent="0.35">
      <c r="A609" s="8" t="s">
        <v>1690</v>
      </c>
      <c r="B609" s="9" t="s">
        <v>1729</v>
      </c>
      <c r="C609" s="4">
        <v>43306</v>
      </c>
      <c r="D609" s="4">
        <v>43501</v>
      </c>
      <c r="E609" t="s">
        <v>1730</v>
      </c>
      <c r="F609" s="9" t="s">
        <v>5</v>
      </c>
      <c r="G609" s="10">
        <v>1240</v>
      </c>
    </row>
    <row r="610" spans="1:7" x14ac:dyDescent="0.35">
      <c r="A610" s="8" t="s">
        <v>1690</v>
      </c>
      <c r="B610" s="9" t="s">
        <v>1759</v>
      </c>
      <c r="C610" s="4">
        <v>43306</v>
      </c>
      <c r="D610" s="4">
        <v>43664</v>
      </c>
      <c r="E610" t="s">
        <v>950</v>
      </c>
      <c r="F610" s="9" t="s">
        <v>5</v>
      </c>
      <c r="G610" s="10">
        <v>1490</v>
      </c>
    </row>
    <row r="611" spans="1:7" x14ac:dyDescent="0.35">
      <c r="A611" s="8" t="s">
        <v>1690</v>
      </c>
      <c r="B611" s="9" t="s">
        <v>1760</v>
      </c>
      <c r="C611" s="4">
        <v>43306</v>
      </c>
      <c r="D611" s="4">
        <v>43357</v>
      </c>
      <c r="E611" t="s">
        <v>45</v>
      </c>
      <c r="F611" s="9" t="s">
        <v>5</v>
      </c>
      <c r="G611" s="10">
        <v>1500</v>
      </c>
    </row>
    <row r="612" spans="1:7" x14ac:dyDescent="0.35">
      <c r="A612" s="8" t="s">
        <v>1690</v>
      </c>
      <c r="B612" s="9" t="s">
        <v>1710</v>
      </c>
      <c r="C612" s="4">
        <v>43306</v>
      </c>
      <c r="D612" s="4">
        <v>43546</v>
      </c>
      <c r="E612" t="s">
        <v>45</v>
      </c>
      <c r="F612" s="9" t="s">
        <v>5</v>
      </c>
      <c r="G612" s="10">
        <v>948.5</v>
      </c>
    </row>
    <row r="613" spans="1:7" x14ac:dyDescent="0.35">
      <c r="A613" s="8" t="s">
        <v>1690</v>
      </c>
      <c r="B613" s="9" t="s">
        <v>1720</v>
      </c>
      <c r="C613" s="4">
        <v>43306</v>
      </c>
      <c r="D613" s="4">
        <v>43353</v>
      </c>
      <c r="E613" t="s">
        <v>1169</v>
      </c>
      <c r="F613" s="9" t="s">
        <v>5</v>
      </c>
      <c r="G613" s="10">
        <v>1080</v>
      </c>
    </row>
    <row r="614" spans="1:7" x14ac:dyDescent="0.35">
      <c r="A614" s="8" t="s">
        <v>1690</v>
      </c>
      <c r="B614" s="9" t="s">
        <v>1782</v>
      </c>
      <c r="C614" s="4">
        <v>43306</v>
      </c>
      <c r="D614" s="4">
        <v>43417</v>
      </c>
      <c r="E614" t="s">
        <v>1783</v>
      </c>
      <c r="F614" s="9" t="s">
        <v>5</v>
      </c>
      <c r="G614" s="10">
        <v>3488.5</v>
      </c>
    </row>
    <row r="615" spans="1:7" x14ac:dyDescent="0.35">
      <c r="A615" s="8" t="s">
        <v>1690</v>
      </c>
      <c r="B615" s="9" t="s">
        <v>1790</v>
      </c>
      <c r="C615" s="4">
        <v>43306</v>
      </c>
      <c r="D615" s="4">
        <v>43434</v>
      </c>
      <c r="E615" t="s">
        <v>1783</v>
      </c>
      <c r="F615" s="9" t="s">
        <v>5</v>
      </c>
      <c r="G615" s="10">
        <v>4560</v>
      </c>
    </row>
    <row r="616" spans="1:7" x14ac:dyDescent="0.35">
      <c r="A616" s="8" t="s">
        <v>1677</v>
      </c>
      <c r="B616" s="9" t="s">
        <v>1678</v>
      </c>
      <c r="C616" s="4">
        <v>43306</v>
      </c>
      <c r="D616" s="4">
        <v>43614</v>
      </c>
      <c r="E616" t="s">
        <v>1679</v>
      </c>
      <c r="F616" s="9" t="s">
        <v>5</v>
      </c>
      <c r="G616" s="10">
        <v>7355</v>
      </c>
    </row>
    <row r="617" spans="1:7" x14ac:dyDescent="0.35">
      <c r="A617" s="8" t="s">
        <v>1799</v>
      </c>
      <c r="B617" s="9" t="s">
        <v>1812</v>
      </c>
      <c r="C617" s="4">
        <v>43306</v>
      </c>
      <c r="D617" s="4">
        <v>43665</v>
      </c>
      <c r="E617" t="s">
        <v>1813</v>
      </c>
      <c r="F617" s="9" t="s">
        <v>5</v>
      </c>
      <c r="G617" s="10">
        <v>944.98</v>
      </c>
    </row>
    <row r="618" spans="1:7" x14ac:dyDescent="0.35">
      <c r="A618" s="8" t="s">
        <v>1690</v>
      </c>
      <c r="B618" s="9" t="s">
        <v>1726</v>
      </c>
      <c r="C618" s="4">
        <v>43306</v>
      </c>
      <c r="D618" s="4">
        <v>43592</v>
      </c>
      <c r="E618" t="s">
        <v>1727</v>
      </c>
      <c r="F618" s="9" t="s">
        <v>5</v>
      </c>
      <c r="G618" s="10">
        <v>1080</v>
      </c>
    </row>
    <row r="619" spans="1:7" x14ac:dyDescent="0.35">
      <c r="A619" s="8" t="s">
        <v>1690</v>
      </c>
      <c r="B619" s="9" t="s">
        <v>1703</v>
      </c>
      <c r="C619" s="4">
        <v>43306</v>
      </c>
      <c r="D619" s="4">
        <v>43329</v>
      </c>
      <c r="E619" t="s">
        <v>53</v>
      </c>
      <c r="F619" s="9" t="s">
        <v>5</v>
      </c>
      <c r="G619" s="10">
        <v>395</v>
      </c>
    </row>
    <row r="620" spans="1:7" x14ac:dyDescent="0.35">
      <c r="A620" s="8" t="s">
        <v>1690</v>
      </c>
      <c r="B620" s="9" t="s">
        <v>1755</v>
      </c>
      <c r="C620" s="4">
        <v>43306</v>
      </c>
      <c r="D620" s="4">
        <v>43587</v>
      </c>
      <c r="E620" t="s">
        <v>1756</v>
      </c>
      <c r="F620" s="9" t="s">
        <v>5</v>
      </c>
      <c r="G620" s="10">
        <v>1325</v>
      </c>
    </row>
    <row r="621" spans="1:7" x14ac:dyDescent="0.35">
      <c r="A621" s="8" t="s">
        <v>1799</v>
      </c>
      <c r="B621" s="9" t="s">
        <v>1830</v>
      </c>
      <c r="C621" s="4">
        <v>43306</v>
      </c>
      <c r="D621" s="4">
        <v>43643</v>
      </c>
      <c r="E621" t="s">
        <v>1831</v>
      </c>
      <c r="F621" s="9" t="s">
        <v>5</v>
      </c>
      <c r="G621" s="10">
        <v>1000</v>
      </c>
    </row>
    <row r="622" spans="1:7" x14ac:dyDescent="0.35">
      <c r="A622" s="8" t="s">
        <v>1690</v>
      </c>
      <c r="B622" s="9" t="s">
        <v>1776</v>
      </c>
      <c r="C622" s="4">
        <v>43306</v>
      </c>
      <c r="D622" s="4">
        <v>43374</v>
      </c>
      <c r="E622" t="s">
        <v>1777</v>
      </c>
      <c r="F622" s="9" t="s">
        <v>5</v>
      </c>
      <c r="G622" s="10">
        <v>2500</v>
      </c>
    </row>
    <row r="623" spans="1:7" x14ac:dyDescent="0.35">
      <c r="A623" s="8" t="s">
        <v>1690</v>
      </c>
      <c r="B623" s="9" t="s">
        <v>1767</v>
      </c>
      <c r="C623" s="4">
        <v>43306</v>
      </c>
      <c r="D623" s="4">
        <v>43642</v>
      </c>
      <c r="E623" t="s">
        <v>1768</v>
      </c>
      <c r="F623" s="9" t="s">
        <v>5</v>
      </c>
      <c r="G623" s="10">
        <v>2050</v>
      </c>
    </row>
    <row r="624" spans="1:7" x14ac:dyDescent="0.35">
      <c r="A624" s="8" t="s">
        <v>1847</v>
      </c>
      <c r="B624" s="9" t="s">
        <v>1850</v>
      </c>
      <c r="C624" s="4">
        <v>43306</v>
      </c>
      <c r="D624" s="4">
        <v>43451</v>
      </c>
      <c r="E624" t="s">
        <v>1563</v>
      </c>
      <c r="F624" s="9" t="s">
        <v>5</v>
      </c>
      <c r="G624" s="10">
        <v>50000</v>
      </c>
    </row>
    <row r="625" spans="1:7" x14ac:dyDescent="0.35">
      <c r="A625" s="8" t="s">
        <v>1690</v>
      </c>
      <c r="B625" s="9" t="s">
        <v>1788</v>
      </c>
      <c r="C625" s="4">
        <v>43306</v>
      </c>
      <c r="D625" s="4">
        <v>43327</v>
      </c>
      <c r="E625" t="s">
        <v>1789</v>
      </c>
      <c r="F625" s="9" t="s">
        <v>5</v>
      </c>
      <c r="G625" s="10">
        <v>4245</v>
      </c>
    </row>
    <row r="626" spans="1:7" x14ac:dyDescent="0.35">
      <c r="A626" s="8" t="s">
        <v>1838</v>
      </c>
      <c r="B626" s="9" t="s">
        <v>1842</v>
      </c>
      <c r="C626" s="4">
        <v>43306</v>
      </c>
      <c r="D626" s="4">
        <v>43643</v>
      </c>
      <c r="E626" t="s">
        <v>1265</v>
      </c>
      <c r="F626" s="9" t="s">
        <v>5</v>
      </c>
      <c r="G626" s="10">
        <v>1845.05</v>
      </c>
    </row>
    <row r="627" spans="1:7" x14ac:dyDescent="0.35">
      <c r="A627" s="8" t="s">
        <v>1690</v>
      </c>
      <c r="B627" s="9" t="s">
        <v>1761</v>
      </c>
      <c r="C627" s="4">
        <v>43306</v>
      </c>
      <c r="D627" s="4">
        <v>43574</v>
      </c>
      <c r="E627" t="s">
        <v>1762</v>
      </c>
      <c r="F627" s="9" t="s">
        <v>5</v>
      </c>
      <c r="G627" s="10">
        <v>1500</v>
      </c>
    </row>
    <row r="628" spans="1:7" x14ac:dyDescent="0.35">
      <c r="A628" s="8" t="s">
        <v>1690</v>
      </c>
      <c r="B628" s="9" t="s">
        <v>1741</v>
      </c>
      <c r="C628" s="4">
        <v>43306</v>
      </c>
      <c r="D628" s="4">
        <v>43353</v>
      </c>
      <c r="E628" t="s">
        <v>1034</v>
      </c>
      <c r="F628" s="9" t="s">
        <v>5</v>
      </c>
      <c r="G628" s="10">
        <v>1260</v>
      </c>
    </row>
    <row r="629" spans="1:7" x14ac:dyDescent="0.35">
      <c r="A629" s="8" t="s">
        <v>1690</v>
      </c>
      <c r="B629" s="9" t="s">
        <v>1752</v>
      </c>
      <c r="C629" s="4">
        <v>43306</v>
      </c>
      <c r="D629" s="4">
        <v>43517</v>
      </c>
      <c r="E629" t="s">
        <v>27</v>
      </c>
      <c r="F629" s="9" t="s">
        <v>5</v>
      </c>
      <c r="G629" s="10">
        <v>1260</v>
      </c>
    </row>
    <row r="630" spans="1:7" x14ac:dyDescent="0.35">
      <c r="A630" s="8" t="s">
        <v>1690</v>
      </c>
      <c r="B630" s="9" t="s">
        <v>1721</v>
      </c>
      <c r="C630" s="4">
        <v>43306</v>
      </c>
      <c r="D630" s="4">
        <v>43353</v>
      </c>
      <c r="E630" t="s">
        <v>23</v>
      </c>
      <c r="F630" s="9" t="s">
        <v>5</v>
      </c>
      <c r="G630" s="10">
        <v>1080</v>
      </c>
    </row>
    <row r="631" spans="1:7" x14ac:dyDescent="0.35">
      <c r="A631" s="8" t="s">
        <v>1690</v>
      </c>
      <c r="B631" s="9" t="s">
        <v>1745</v>
      </c>
      <c r="C631" s="4">
        <v>43306</v>
      </c>
      <c r="D631" s="4">
        <v>43517</v>
      </c>
      <c r="E631" t="s">
        <v>23</v>
      </c>
      <c r="F631" s="9" t="s">
        <v>5</v>
      </c>
      <c r="G631" s="10">
        <v>1260</v>
      </c>
    </row>
    <row r="632" spans="1:7" x14ac:dyDescent="0.35">
      <c r="A632" s="8" t="s">
        <v>1690</v>
      </c>
      <c r="B632" s="9" t="s">
        <v>1693</v>
      </c>
      <c r="C632" s="4">
        <v>43306</v>
      </c>
      <c r="D632" s="4">
        <v>43614</v>
      </c>
      <c r="E632" t="s">
        <v>1694</v>
      </c>
      <c r="F632" s="9" t="s">
        <v>5</v>
      </c>
      <c r="G632" s="10">
        <v>320</v>
      </c>
    </row>
    <row r="633" spans="1:7" x14ac:dyDescent="0.35">
      <c r="A633" s="8" t="s">
        <v>1799</v>
      </c>
      <c r="B633" s="9" t="s">
        <v>1832</v>
      </c>
      <c r="C633" s="4">
        <v>43306</v>
      </c>
      <c r="D633" s="4">
        <v>43670</v>
      </c>
      <c r="E633" t="s">
        <v>1833</v>
      </c>
      <c r="F633" s="9" t="s">
        <v>5</v>
      </c>
      <c r="G633" s="10">
        <v>1000</v>
      </c>
    </row>
    <row r="634" spans="1:7" x14ac:dyDescent="0.35">
      <c r="A634" s="8" t="s">
        <v>1690</v>
      </c>
      <c r="B634" s="9" t="s">
        <v>1707</v>
      </c>
      <c r="C634" s="4">
        <v>43306</v>
      </c>
      <c r="D634" s="4">
        <v>43553</v>
      </c>
      <c r="E634" t="s">
        <v>1708</v>
      </c>
      <c r="F634" s="9" t="s">
        <v>5</v>
      </c>
      <c r="G634" s="10">
        <v>900</v>
      </c>
    </row>
    <row r="635" spans="1:7" x14ac:dyDescent="0.35">
      <c r="A635" s="8" t="s">
        <v>1690</v>
      </c>
      <c r="B635" s="9" t="s">
        <v>1746</v>
      </c>
      <c r="C635" s="4">
        <v>43306</v>
      </c>
      <c r="D635" s="4">
        <v>43517</v>
      </c>
      <c r="E635" t="s">
        <v>33</v>
      </c>
      <c r="F635" s="9" t="s">
        <v>5</v>
      </c>
      <c r="G635" s="10">
        <v>1260</v>
      </c>
    </row>
    <row r="636" spans="1:7" x14ac:dyDescent="0.35">
      <c r="A636" s="8" t="s">
        <v>1690</v>
      </c>
      <c r="B636" s="9" t="s">
        <v>1735</v>
      </c>
      <c r="C636" s="4">
        <v>43306</v>
      </c>
      <c r="D636" s="4">
        <v>43353</v>
      </c>
      <c r="E636" t="s">
        <v>1189</v>
      </c>
      <c r="F636" s="9" t="s">
        <v>5</v>
      </c>
      <c r="G636" s="10">
        <v>1260</v>
      </c>
    </row>
    <row r="637" spans="1:7" x14ac:dyDescent="0.35">
      <c r="A637" s="8" t="s">
        <v>1690</v>
      </c>
      <c r="B637" s="9" t="s">
        <v>1744</v>
      </c>
      <c r="C637" s="4">
        <v>43306</v>
      </c>
      <c r="D637" s="4">
        <v>43517</v>
      </c>
      <c r="E637" t="s">
        <v>1189</v>
      </c>
      <c r="F637" s="9" t="s">
        <v>5</v>
      </c>
      <c r="G637" s="10">
        <v>1260</v>
      </c>
    </row>
    <row r="638" spans="1:7" x14ac:dyDescent="0.35">
      <c r="A638" s="8" t="s">
        <v>1838</v>
      </c>
      <c r="B638" s="9" t="s">
        <v>1844</v>
      </c>
      <c r="C638" s="4">
        <v>43306</v>
      </c>
      <c r="D638" s="4">
        <v>43644</v>
      </c>
      <c r="E638" t="s">
        <v>1263</v>
      </c>
      <c r="F638" s="9" t="s">
        <v>5</v>
      </c>
      <c r="G638" s="10">
        <v>3400</v>
      </c>
    </row>
    <row r="639" spans="1:7" x14ac:dyDescent="0.35">
      <c r="A639" s="8" t="s">
        <v>1690</v>
      </c>
      <c r="B639" s="9" t="s">
        <v>1781</v>
      </c>
      <c r="C639" s="4">
        <v>43306</v>
      </c>
      <c r="D639" s="4">
        <v>43327</v>
      </c>
      <c r="E639" t="s">
        <v>51</v>
      </c>
      <c r="F639" s="9" t="s">
        <v>5</v>
      </c>
      <c r="G639" s="10">
        <v>3400</v>
      </c>
    </row>
    <row r="640" spans="1:7" x14ac:dyDescent="0.35">
      <c r="A640" s="8" t="s">
        <v>1690</v>
      </c>
      <c r="B640" s="9" t="s">
        <v>1792</v>
      </c>
      <c r="C640" s="4">
        <v>43306</v>
      </c>
      <c r="D640" s="4">
        <v>43507</v>
      </c>
      <c r="E640" t="s">
        <v>51</v>
      </c>
      <c r="F640" s="9" t="s">
        <v>5</v>
      </c>
      <c r="G640" s="10">
        <v>5750</v>
      </c>
    </row>
    <row r="641" spans="1:7" x14ac:dyDescent="0.35">
      <c r="A641" s="8" t="s">
        <v>1799</v>
      </c>
      <c r="B641" s="9" t="s">
        <v>1808</v>
      </c>
      <c r="C641" s="4">
        <v>43306</v>
      </c>
      <c r="D641" s="4">
        <v>43501</v>
      </c>
      <c r="E641" t="s">
        <v>1809</v>
      </c>
      <c r="F641" s="9" t="s">
        <v>5</v>
      </c>
      <c r="G641" s="10">
        <v>871.29</v>
      </c>
    </row>
    <row r="642" spans="1:7" x14ac:dyDescent="0.35">
      <c r="A642" s="8" t="s">
        <v>1677</v>
      </c>
      <c r="B642" s="9" t="s">
        <v>1688</v>
      </c>
      <c r="C642" s="4">
        <v>43306</v>
      </c>
      <c r="D642" s="4">
        <v>43644</v>
      </c>
      <c r="E642" t="s">
        <v>1689</v>
      </c>
      <c r="F642" s="9" t="s">
        <v>5</v>
      </c>
      <c r="G642" s="10">
        <v>50000</v>
      </c>
    </row>
    <row r="643" spans="1:7" x14ac:dyDescent="0.35">
      <c r="A643" s="8" t="s">
        <v>1838</v>
      </c>
      <c r="B643" s="9" t="s">
        <v>1845</v>
      </c>
      <c r="C643" s="4">
        <v>43306</v>
      </c>
      <c r="D643" s="4">
        <v>43658</v>
      </c>
      <c r="E643" t="s">
        <v>1846</v>
      </c>
      <c r="F643" s="9" t="s">
        <v>5</v>
      </c>
      <c r="G643" s="10">
        <v>13500</v>
      </c>
    </row>
    <row r="644" spans="1:7" x14ac:dyDescent="0.35">
      <c r="A644" s="8" t="s">
        <v>1799</v>
      </c>
      <c r="B644" s="9" t="s">
        <v>1803</v>
      </c>
      <c r="C644" s="4">
        <v>43306</v>
      </c>
      <c r="D644" s="4">
        <v>43649</v>
      </c>
      <c r="E644" t="s">
        <v>1804</v>
      </c>
      <c r="F644" s="9" t="s">
        <v>5</v>
      </c>
      <c r="G644" s="10">
        <v>736.99</v>
      </c>
    </row>
    <row r="645" spans="1:7" x14ac:dyDescent="0.35">
      <c r="A645" s="8" t="s">
        <v>1690</v>
      </c>
      <c r="B645" s="9" t="s">
        <v>1699</v>
      </c>
      <c r="C645" s="4">
        <v>43306</v>
      </c>
      <c r="D645" s="4">
        <v>43614</v>
      </c>
      <c r="E645" t="s">
        <v>1700</v>
      </c>
      <c r="F645" s="9" t="s">
        <v>5</v>
      </c>
      <c r="G645" s="10">
        <v>320</v>
      </c>
    </row>
    <row r="646" spans="1:7" x14ac:dyDescent="0.35">
      <c r="A646" s="8" t="s">
        <v>1799</v>
      </c>
      <c r="B646" s="9" t="s">
        <v>1820</v>
      </c>
      <c r="C646" s="4">
        <v>43306</v>
      </c>
      <c r="D646" s="4">
        <v>43598</v>
      </c>
      <c r="E646" t="s">
        <v>1821</v>
      </c>
      <c r="F646" s="9" t="s">
        <v>5</v>
      </c>
      <c r="G646" s="10">
        <v>984.15</v>
      </c>
    </row>
    <row r="647" spans="1:7" x14ac:dyDescent="0.35">
      <c r="A647" s="8" t="s">
        <v>1690</v>
      </c>
      <c r="B647" s="9" t="s">
        <v>1748</v>
      </c>
      <c r="C647" s="4">
        <v>43306</v>
      </c>
      <c r="D647" s="4">
        <v>43517</v>
      </c>
      <c r="E647" t="s">
        <v>1749</v>
      </c>
      <c r="F647" s="9" t="s">
        <v>5</v>
      </c>
      <c r="G647" s="10">
        <v>1260</v>
      </c>
    </row>
    <row r="648" spans="1:7" x14ac:dyDescent="0.35">
      <c r="A648" s="8" t="s">
        <v>383</v>
      </c>
      <c r="B648" s="9" t="s">
        <v>384</v>
      </c>
      <c r="C648" s="4">
        <v>43306</v>
      </c>
      <c r="D648" s="4">
        <v>43384</v>
      </c>
      <c r="E648" t="s">
        <v>385</v>
      </c>
      <c r="F648" s="9" t="s">
        <v>4</v>
      </c>
      <c r="G648" s="10">
        <v>150000</v>
      </c>
    </row>
    <row r="649" spans="1:7" x14ac:dyDescent="0.35">
      <c r="A649" s="8" t="s">
        <v>386</v>
      </c>
      <c r="B649" s="9" t="s">
        <v>387</v>
      </c>
      <c r="C649" s="4">
        <v>43306</v>
      </c>
      <c r="D649" s="4">
        <v>43384</v>
      </c>
      <c r="E649" t="s">
        <v>385</v>
      </c>
      <c r="F649" s="9" t="s">
        <v>4</v>
      </c>
      <c r="G649" s="10">
        <v>200000</v>
      </c>
    </row>
    <row r="650" spans="1:7" x14ac:dyDescent="0.35">
      <c r="A650" s="8" t="s">
        <v>369</v>
      </c>
      <c r="B650" s="9" t="s">
        <v>370</v>
      </c>
      <c r="C650" s="4">
        <v>43306</v>
      </c>
      <c r="D650" s="4">
        <v>43447</v>
      </c>
      <c r="E650" t="s">
        <v>200</v>
      </c>
      <c r="F650" s="9" t="s">
        <v>4</v>
      </c>
      <c r="G650" s="10">
        <v>35000</v>
      </c>
    </row>
    <row r="651" spans="1:7" x14ac:dyDescent="0.35">
      <c r="A651" s="8" t="s">
        <v>1799</v>
      </c>
      <c r="B651" s="9" t="s">
        <v>1814</v>
      </c>
      <c r="C651" s="4">
        <v>43306</v>
      </c>
      <c r="D651" s="4">
        <v>43389</v>
      </c>
      <c r="E651" t="s">
        <v>1815</v>
      </c>
      <c r="F651" s="9" t="s">
        <v>5</v>
      </c>
      <c r="G651" s="10">
        <v>954.61</v>
      </c>
    </row>
    <row r="652" spans="1:7" x14ac:dyDescent="0.35">
      <c r="A652" s="8" t="s">
        <v>1847</v>
      </c>
      <c r="B652" s="9" t="s">
        <v>1858</v>
      </c>
      <c r="C652" s="4">
        <v>43306</v>
      </c>
      <c r="D652" s="4">
        <v>43644</v>
      </c>
      <c r="E652" t="s">
        <v>1086</v>
      </c>
      <c r="F652" s="9" t="s">
        <v>5</v>
      </c>
      <c r="G652" s="10">
        <v>50000</v>
      </c>
    </row>
    <row r="653" spans="1:7" x14ac:dyDescent="0.35">
      <c r="A653" s="8" t="s">
        <v>1847</v>
      </c>
      <c r="B653" s="9" t="s">
        <v>1854</v>
      </c>
      <c r="C653" s="4">
        <v>43306</v>
      </c>
      <c r="D653" s="4">
        <v>43635</v>
      </c>
      <c r="E653" t="s">
        <v>1075</v>
      </c>
      <c r="F653" s="9" t="s">
        <v>5</v>
      </c>
      <c r="G653" s="10">
        <v>50000</v>
      </c>
    </row>
    <row r="654" spans="1:7" x14ac:dyDescent="0.35">
      <c r="A654" s="8" t="s">
        <v>1690</v>
      </c>
      <c r="B654" s="9" t="s">
        <v>1701</v>
      </c>
      <c r="C654" s="4">
        <v>43306</v>
      </c>
      <c r="D654" s="4">
        <v>43614</v>
      </c>
      <c r="E654" t="s">
        <v>134</v>
      </c>
      <c r="F654" s="9" t="s">
        <v>5</v>
      </c>
      <c r="G654" s="10">
        <v>320</v>
      </c>
    </row>
    <row r="655" spans="1:7" x14ac:dyDescent="0.35">
      <c r="A655" s="8" t="s">
        <v>1690</v>
      </c>
      <c r="B655" s="9" t="s">
        <v>1734</v>
      </c>
      <c r="C655" s="4">
        <v>43306</v>
      </c>
      <c r="D655" s="4">
        <v>43353</v>
      </c>
      <c r="E655" t="s">
        <v>136</v>
      </c>
      <c r="F655" s="9" t="s">
        <v>5</v>
      </c>
      <c r="G655" s="10">
        <v>1260</v>
      </c>
    </row>
    <row r="656" spans="1:7" x14ac:dyDescent="0.35">
      <c r="A656" s="8" t="s">
        <v>1690</v>
      </c>
      <c r="B656" s="9" t="s">
        <v>1797</v>
      </c>
      <c r="C656" s="4">
        <v>43306</v>
      </c>
      <c r="D656" s="4">
        <v>43587</v>
      </c>
      <c r="E656" t="s">
        <v>1798</v>
      </c>
      <c r="F656" s="9" t="s">
        <v>5</v>
      </c>
      <c r="G656" s="10">
        <v>12000</v>
      </c>
    </row>
    <row r="657" spans="1:7" x14ac:dyDescent="0.35">
      <c r="A657" s="8" t="s">
        <v>1673</v>
      </c>
      <c r="B657" s="9" t="s">
        <v>2569</v>
      </c>
      <c r="C657" s="4">
        <v>43308</v>
      </c>
      <c r="D657" s="4"/>
      <c r="E657" t="s">
        <v>403</v>
      </c>
      <c r="F657" s="9" t="s">
        <v>5</v>
      </c>
      <c r="G657" s="10">
        <v>136000</v>
      </c>
    </row>
    <row r="658" spans="1:7" x14ac:dyDescent="0.35">
      <c r="A658" s="8" t="s">
        <v>1674</v>
      </c>
      <c r="B658" s="9" t="s">
        <v>1675</v>
      </c>
      <c r="C658" s="4">
        <v>43308</v>
      </c>
      <c r="D658" s="4">
        <v>43390</v>
      </c>
      <c r="E658" t="s">
        <v>1676</v>
      </c>
      <c r="F658" s="9" t="s">
        <v>5</v>
      </c>
      <c r="G658" s="10">
        <v>8000</v>
      </c>
    </row>
    <row r="659" spans="1:7" x14ac:dyDescent="0.35">
      <c r="A659" s="8" t="s">
        <v>1859</v>
      </c>
      <c r="B659" s="9" t="s">
        <v>2569</v>
      </c>
      <c r="C659" s="4">
        <v>43321</v>
      </c>
      <c r="D659" s="4"/>
      <c r="E659" t="s">
        <v>1860</v>
      </c>
      <c r="F659" s="9" t="s">
        <v>5</v>
      </c>
      <c r="G659" s="10">
        <v>2000</v>
      </c>
    </row>
    <row r="660" spans="1:7" x14ac:dyDescent="0.35">
      <c r="A660" s="8" t="s">
        <v>1861</v>
      </c>
      <c r="B660" s="9" t="s">
        <v>1862</v>
      </c>
      <c r="C660" s="4">
        <v>43321</v>
      </c>
      <c r="D660" s="4">
        <v>43392</v>
      </c>
      <c r="E660" t="s">
        <v>1863</v>
      </c>
      <c r="F660" s="9" t="s">
        <v>5</v>
      </c>
      <c r="G660" s="10">
        <v>20800</v>
      </c>
    </row>
    <row r="661" spans="1:7" x14ac:dyDescent="0.35">
      <c r="A661" s="8" t="s">
        <v>1864</v>
      </c>
      <c r="B661" s="9" t="s">
        <v>1865</v>
      </c>
      <c r="C661" s="4">
        <v>43321</v>
      </c>
      <c r="D661" s="4">
        <v>43392</v>
      </c>
      <c r="E661" t="s">
        <v>1863</v>
      </c>
      <c r="F661" s="9" t="s">
        <v>5</v>
      </c>
      <c r="G661" s="10">
        <v>40000</v>
      </c>
    </row>
    <row r="662" spans="1:7" x14ac:dyDescent="0.35">
      <c r="A662" s="8" t="s">
        <v>504</v>
      </c>
      <c r="B662" s="9" t="s">
        <v>505</v>
      </c>
      <c r="C662" s="4">
        <v>43322</v>
      </c>
      <c r="D662" s="4">
        <v>43563</v>
      </c>
      <c r="E662" t="s">
        <v>350</v>
      </c>
      <c r="F662" s="9" t="s">
        <v>4</v>
      </c>
      <c r="G662" s="10">
        <v>550000</v>
      </c>
    </row>
    <row r="663" spans="1:7" x14ac:dyDescent="0.35">
      <c r="A663" s="8" t="s">
        <v>380</v>
      </c>
      <c r="B663" s="9" t="s">
        <v>381</v>
      </c>
      <c r="C663" s="4">
        <v>43322</v>
      </c>
      <c r="D663" s="4">
        <v>43333</v>
      </c>
      <c r="E663" t="s">
        <v>382</v>
      </c>
      <c r="F663" s="9" t="s">
        <v>4</v>
      </c>
      <c r="G663" s="10">
        <v>2000000</v>
      </c>
    </row>
    <row r="664" spans="1:7" x14ac:dyDescent="0.35">
      <c r="A664" s="8" t="s">
        <v>1866</v>
      </c>
      <c r="B664" s="9" t="s">
        <v>2569</v>
      </c>
      <c r="C664" s="4">
        <v>43332</v>
      </c>
      <c r="D664" s="4"/>
      <c r="E664" t="s">
        <v>1867</v>
      </c>
      <c r="F664" s="9" t="s">
        <v>5</v>
      </c>
      <c r="G664" s="10">
        <v>5000</v>
      </c>
    </row>
    <row r="665" spans="1:7" x14ac:dyDescent="0.35">
      <c r="A665" s="8" t="s">
        <v>1868</v>
      </c>
      <c r="B665" s="9" t="s">
        <v>2569</v>
      </c>
      <c r="C665" s="4">
        <v>43332</v>
      </c>
      <c r="D665" s="4"/>
      <c r="E665" t="s">
        <v>1543</v>
      </c>
      <c r="F665" s="9" t="s">
        <v>5</v>
      </c>
      <c r="G665" s="10">
        <v>25000</v>
      </c>
    </row>
    <row r="666" spans="1:7" x14ac:dyDescent="0.35">
      <c r="A666" s="8" t="s">
        <v>438</v>
      </c>
      <c r="B666" s="9" t="s">
        <v>439</v>
      </c>
      <c r="C666" s="4">
        <v>43349</v>
      </c>
      <c r="D666" s="4">
        <v>43587</v>
      </c>
      <c r="E666" t="s">
        <v>440</v>
      </c>
      <c r="F666" s="9" t="s">
        <v>4</v>
      </c>
      <c r="G666" s="10">
        <v>246000</v>
      </c>
    </row>
    <row r="667" spans="1:7" x14ac:dyDescent="0.35">
      <c r="A667" s="8" t="s">
        <v>399</v>
      </c>
      <c r="B667" s="9" t="s">
        <v>2569</v>
      </c>
      <c r="C667" s="4">
        <v>43349</v>
      </c>
      <c r="D667" s="4"/>
      <c r="E667" t="s">
        <v>400</v>
      </c>
      <c r="F667" s="9" t="s">
        <v>4</v>
      </c>
      <c r="G667" s="10">
        <v>37500</v>
      </c>
    </row>
    <row r="668" spans="1:7" x14ac:dyDescent="0.35">
      <c r="A668" s="8" t="s">
        <v>486</v>
      </c>
      <c r="B668" s="9" t="s">
        <v>487</v>
      </c>
      <c r="C668" s="4">
        <v>43349</v>
      </c>
      <c r="D668" s="4">
        <v>43552</v>
      </c>
      <c r="E668" t="s">
        <v>488</v>
      </c>
      <c r="F668" s="9" t="s">
        <v>4</v>
      </c>
      <c r="G668" s="10">
        <v>525000</v>
      </c>
    </row>
    <row r="669" spans="1:7" x14ac:dyDescent="0.35">
      <c r="A669" s="8" t="s">
        <v>489</v>
      </c>
      <c r="B669" s="9" t="s">
        <v>490</v>
      </c>
      <c r="C669" s="4">
        <v>43349</v>
      </c>
      <c r="D669" s="4">
        <v>43552</v>
      </c>
      <c r="E669" t="s">
        <v>488</v>
      </c>
      <c r="F669" s="9" t="s">
        <v>4</v>
      </c>
      <c r="G669" s="10">
        <v>150000</v>
      </c>
    </row>
    <row r="670" spans="1:7" x14ac:dyDescent="0.35">
      <c r="A670" s="8" t="s">
        <v>404</v>
      </c>
      <c r="B670" s="9" t="s">
        <v>405</v>
      </c>
      <c r="C670" s="4">
        <v>43349</v>
      </c>
      <c r="D670" s="4">
        <v>43552</v>
      </c>
      <c r="E670" t="s">
        <v>406</v>
      </c>
      <c r="F670" s="9" t="s">
        <v>4</v>
      </c>
      <c r="G670" s="10">
        <v>6800000</v>
      </c>
    </row>
    <row r="671" spans="1:7" x14ac:dyDescent="0.35">
      <c r="A671" s="8" t="s">
        <v>407</v>
      </c>
      <c r="B671" s="9" t="s">
        <v>408</v>
      </c>
      <c r="C671" s="4">
        <v>43349</v>
      </c>
      <c r="D671" s="4">
        <v>43543</v>
      </c>
      <c r="E671" t="s">
        <v>409</v>
      </c>
      <c r="F671" s="9" t="s">
        <v>4</v>
      </c>
      <c r="G671" s="10">
        <v>300000</v>
      </c>
    </row>
    <row r="672" spans="1:7" x14ac:dyDescent="0.35">
      <c r="A672" s="8" t="s">
        <v>401</v>
      </c>
      <c r="B672" s="9" t="s">
        <v>402</v>
      </c>
      <c r="C672" s="4">
        <v>43349</v>
      </c>
      <c r="D672" s="4">
        <v>43552</v>
      </c>
      <c r="E672" t="s">
        <v>403</v>
      </c>
      <c r="F672" s="9" t="s">
        <v>4</v>
      </c>
      <c r="G672" s="10">
        <v>420000</v>
      </c>
    </row>
    <row r="673" spans="1:7" x14ac:dyDescent="0.35">
      <c r="A673" s="8" t="s">
        <v>392</v>
      </c>
      <c r="B673" s="9" t="s">
        <v>393</v>
      </c>
      <c r="C673" s="4">
        <v>43349</v>
      </c>
      <c r="D673" s="4">
        <v>43521</v>
      </c>
      <c r="E673" t="s">
        <v>394</v>
      </c>
      <c r="F673" s="9" t="s">
        <v>4</v>
      </c>
      <c r="G673" s="10">
        <v>1500000</v>
      </c>
    </row>
    <row r="674" spans="1:7" x14ac:dyDescent="0.35">
      <c r="A674" s="8" t="s">
        <v>395</v>
      </c>
      <c r="B674" s="9" t="s">
        <v>396</v>
      </c>
      <c r="C674" s="4">
        <v>43349</v>
      </c>
      <c r="D674" s="4">
        <v>43521</v>
      </c>
      <c r="E674" t="s">
        <v>394</v>
      </c>
      <c r="F674" s="9" t="s">
        <v>4</v>
      </c>
      <c r="G674" s="10">
        <v>500000</v>
      </c>
    </row>
    <row r="675" spans="1:7" x14ac:dyDescent="0.35">
      <c r="A675" s="8" t="s">
        <v>397</v>
      </c>
      <c r="B675" s="9" t="s">
        <v>398</v>
      </c>
      <c r="C675" s="4">
        <v>43349</v>
      </c>
      <c r="D675" s="4">
        <v>43383</v>
      </c>
      <c r="E675" t="s">
        <v>238</v>
      </c>
      <c r="F675" s="9" t="s">
        <v>4</v>
      </c>
      <c r="G675" s="10">
        <v>15000</v>
      </c>
    </row>
    <row r="676" spans="1:7" x14ac:dyDescent="0.35">
      <c r="A676" s="8" t="s">
        <v>390</v>
      </c>
      <c r="B676" s="9" t="s">
        <v>391</v>
      </c>
      <c r="C676" s="4">
        <v>43349</v>
      </c>
      <c r="D676" s="4">
        <v>43438</v>
      </c>
      <c r="E676" t="s">
        <v>18</v>
      </c>
      <c r="F676" s="9" t="s">
        <v>4</v>
      </c>
      <c r="G676" s="10">
        <v>400000</v>
      </c>
    </row>
    <row r="677" spans="1:7" x14ac:dyDescent="0.35">
      <c r="A677" s="8" t="s">
        <v>1869</v>
      </c>
      <c r="B677" s="9" t="s">
        <v>1870</v>
      </c>
      <c r="C677" s="4">
        <v>43371</v>
      </c>
      <c r="D677" s="4">
        <v>43832</v>
      </c>
      <c r="E677" t="s">
        <v>1871</v>
      </c>
      <c r="F677" s="9" t="s">
        <v>5</v>
      </c>
      <c r="G677" s="10">
        <v>38000</v>
      </c>
    </row>
    <row r="678" spans="1:7" x14ac:dyDescent="0.35">
      <c r="A678" s="8" t="s">
        <v>1872</v>
      </c>
      <c r="B678" s="9" t="s">
        <v>1873</v>
      </c>
      <c r="C678" s="4">
        <v>43371</v>
      </c>
      <c r="D678" s="4">
        <v>43794</v>
      </c>
      <c r="E678" t="s">
        <v>1874</v>
      </c>
      <c r="F678" s="9" t="s">
        <v>5</v>
      </c>
      <c r="G678" s="10">
        <v>15000</v>
      </c>
    </row>
    <row r="679" spans="1:7" x14ac:dyDescent="0.35">
      <c r="A679" s="8" t="s">
        <v>1875</v>
      </c>
      <c r="B679" s="9" t="s">
        <v>1876</v>
      </c>
      <c r="C679" s="4">
        <v>43371</v>
      </c>
      <c r="D679" s="4">
        <v>43791</v>
      </c>
      <c r="E679" t="s">
        <v>1874</v>
      </c>
      <c r="F679" s="9" t="s">
        <v>5</v>
      </c>
      <c r="G679" s="10">
        <v>100000</v>
      </c>
    </row>
    <row r="680" spans="1:7" x14ac:dyDescent="0.35">
      <c r="A680" s="8" t="s">
        <v>422</v>
      </c>
      <c r="B680" s="9" t="s">
        <v>423</v>
      </c>
      <c r="C680" s="4">
        <v>43404</v>
      </c>
      <c r="D680" s="4">
        <v>43538</v>
      </c>
      <c r="E680" t="s">
        <v>424</v>
      </c>
      <c r="F680" s="9" t="s">
        <v>4</v>
      </c>
      <c r="G680" s="10">
        <v>10000000</v>
      </c>
    </row>
    <row r="681" spans="1:7" x14ac:dyDescent="0.35">
      <c r="A681" s="8" t="s">
        <v>1951</v>
      </c>
      <c r="B681" s="9" t="s">
        <v>2003</v>
      </c>
      <c r="C681" s="4">
        <v>43404</v>
      </c>
      <c r="D681" s="4">
        <v>43980</v>
      </c>
      <c r="E681" t="s">
        <v>2004</v>
      </c>
      <c r="F681" s="9" t="s">
        <v>5</v>
      </c>
      <c r="G681" s="10">
        <v>220539</v>
      </c>
    </row>
    <row r="682" spans="1:7" x14ac:dyDescent="0.35">
      <c r="A682" s="8" t="s">
        <v>1951</v>
      </c>
      <c r="B682" s="9" t="s">
        <v>1976</v>
      </c>
      <c r="C682" s="4">
        <v>43404</v>
      </c>
      <c r="D682" s="4">
        <v>43881</v>
      </c>
      <c r="E682" t="s">
        <v>1522</v>
      </c>
      <c r="F682" s="9" t="s">
        <v>5</v>
      </c>
      <c r="G682" s="10">
        <v>88907</v>
      </c>
    </row>
    <row r="683" spans="1:7" x14ac:dyDescent="0.35">
      <c r="A683" s="8" t="s">
        <v>1951</v>
      </c>
      <c r="B683" s="9" t="s">
        <v>2013</v>
      </c>
      <c r="C683" s="4">
        <v>43404</v>
      </c>
      <c r="D683" s="4">
        <v>43882</v>
      </c>
      <c r="E683" t="s">
        <v>2014</v>
      </c>
      <c r="F683" s="9" t="s">
        <v>5</v>
      </c>
      <c r="G683" s="10">
        <v>258492</v>
      </c>
    </row>
    <row r="684" spans="1:7" x14ac:dyDescent="0.35">
      <c r="A684" s="8" t="s">
        <v>1951</v>
      </c>
      <c r="B684" s="9" t="s">
        <v>1977</v>
      </c>
      <c r="C684" s="4">
        <v>43404</v>
      </c>
      <c r="D684" s="4">
        <v>43859</v>
      </c>
      <c r="E684" t="s">
        <v>1978</v>
      </c>
      <c r="F684" s="9" t="s">
        <v>5</v>
      </c>
      <c r="G684" s="10">
        <v>94548.72</v>
      </c>
    </row>
    <row r="685" spans="1:7" x14ac:dyDescent="0.35">
      <c r="A685" s="8" t="s">
        <v>1587</v>
      </c>
      <c r="B685" s="9" t="s">
        <v>1588</v>
      </c>
      <c r="C685" s="4">
        <v>43404</v>
      </c>
      <c r="D685" s="4">
        <v>43509</v>
      </c>
      <c r="E685" t="s">
        <v>791</v>
      </c>
      <c r="F685" s="9" t="s">
        <v>5</v>
      </c>
      <c r="G685" s="10">
        <v>34324</v>
      </c>
    </row>
    <row r="686" spans="1:7" x14ac:dyDescent="0.35">
      <c r="A686" s="8" t="s">
        <v>425</v>
      </c>
      <c r="B686" s="9" t="s">
        <v>426</v>
      </c>
      <c r="C686" s="4">
        <v>43404</v>
      </c>
      <c r="D686" s="4">
        <v>43531</v>
      </c>
      <c r="E686" t="s">
        <v>427</v>
      </c>
      <c r="F686" s="9" t="s">
        <v>4</v>
      </c>
      <c r="G686" s="10">
        <v>325000</v>
      </c>
    </row>
    <row r="687" spans="1:7" x14ac:dyDescent="0.35">
      <c r="A687" s="8" t="s">
        <v>428</v>
      </c>
      <c r="B687" s="9" t="s">
        <v>429</v>
      </c>
      <c r="C687" s="4">
        <v>43404</v>
      </c>
      <c r="D687" s="4">
        <v>43531</v>
      </c>
      <c r="E687" t="s">
        <v>427</v>
      </c>
      <c r="F687" s="9" t="s">
        <v>4</v>
      </c>
      <c r="G687" s="10">
        <v>1300000</v>
      </c>
    </row>
    <row r="688" spans="1:7" x14ac:dyDescent="0.35">
      <c r="A688" s="8" t="s">
        <v>1951</v>
      </c>
      <c r="B688" s="9" t="s">
        <v>1987</v>
      </c>
      <c r="C688" s="4">
        <v>43404</v>
      </c>
      <c r="D688" s="4">
        <v>44022</v>
      </c>
      <c r="E688" t="s">
        <v>1988</v>
      </c>
      <c r="F688" s="9" t="s">
        <v>5</v>
      </c>
      <c r="G688" s="10">
        <v>143100</v>
      </c>
    </row>
    <row r="689" spans="1:7" x14ac:dyDescent="0.35">
      <c r="A689" s="8" t="s">
        <v>1951</v>
      </c>
      <c r="B689" s="9" t="s">
        <v>1985</v>
      </c>
      <c r="C689" s="4">
        <v>43404</v>
      </c>
      <c r="D689" s="4">
        <v>44018</v>
      </c>
      <c r="E689" t="s">
        <v>1986</v>
      </c>
      <c r="F689" s="9" t="s">
        <v>5</v>
      </c>
      <c r="G689" s="10">
        <v>131068.27</v>
      </c>
    </row>
    <row r="690" spans="1:7" x14ac:dyDescent="0.35">
      <c r="A690" s="8" t="s">
        <v>1951</v>
      </c>
      <c r="B690" s="9" t="s">
        <v>2011</v>
      </c>
      <c r="C690" s="4">
        <v>43404</v>
      </c>
      <c r="D690" s="4">
        <v>44029</v>
      </c>
      <c r="E690" t="s">
        <v>2012</v>
      </c>
      <c r="F690" s="9" t="s">
        <v>5</v>
      </c>
      <c r="G690" s="10">
        <v>254814</v>
      </c>
    </row>
    <row r="691" spans="1:7" x14ac:dyDescent="0.35">
      <c r="A691" s="8" t="s">
        <v>1951</v>
      </c>
      <c r="B691" s="9" t="s">
        <v>1981</v>
      </c>
      <c r="C691" s="4">
        <v>43404</v>
      </c>
      <c r="D691" s="4">
        <v>43868</v>
      </c>
      <c r="E691" t="s">
        <v>1982</v>
      </c>
      <c r="F691" s="9" t="s">
        <v>5</v>
      </c>
      <c r="G691" s="10">
        <v>105735</v>
      </c>
    </row>
    <row r="692" spans="1:7" x14ac:dyDescent="0.35">
      <c r="A692" s="8" t="s">
        <v>1951</v>
      </c>
      <c r="B692" s="9" t="s">
        <v>1958</v>
      </c>
      <c r="C692" s="4">
        <v>43404</v>
      </c>
      <c r="D692" s="4">
        <v>43888</v>
      </c>
      <c r="E692" t="s">
        <v>1959</v>
      </c>
      <c r="F692" s="9" t="s">
        <v>5</v>
      </c>
      <c r="G692" s="10">
        <v>34973.19</v>
      </c>
    </row>
    <row r="693" spans="1:7" x14ac:dyDescent="0.35">
      <c r="A693" s="8" t="s">
        <v>1951</v>
      </c>
      <c r="B693" s="9" t="s">
        <v>1995</v>
      </c>
      <c r="C693" s="4">
        <v>43404</v>
      </c>
      <c r="D693" s="4">
        <v>43991</v>
      </c>
      <c r="E693" t="s">
        <v>1996</v>
      </c>
      <c r="F693" s="9" t="s">
        <v>5</v>
      </c>
      <c r="G693" s="10">
        <v>201104.93</v>
      </c>
    </row>
    <row r="694" spans="1:7" x14ac:dyDescent="0.35">
      <c r="A694" s="8" t="s">
        <v>1951</v>
      </c>
      <c r="B694" s="9" t="s">
        <v>1997</v>
      </c>
      <c r="C694" s="4">
        <v>43404</v>
      </c>
      <c r="D694" s="4">
        <v>43859</v>
      </c>
      <c r="E694" t="s">
        <v>1998</v>
      </c>
      <c r="F694" s="9" t="s">
        <v>5</v>
      </c>
      <c r="G694" s="10">
        <v>201700</v>
      </c>
    </row>
    <row r="695" spans="1:7" x14ac:dyDescent="0.35">
      <c r="A695" s="8" t="s">
        <v>1951</v>
      </c>
      <c r="B695" s="9" t="s">
        <v>2017</v>
      </c>
      <c r="C695" s="4">
        <v>43404</v>
      </c>
      <c r="D695" s="4">
        <v>43859</v>
      </c>
      <c r="E695" t="s">
        <v>2018</v>
      </c>
      <c r="F695" s="9" t="s">
        <v>5</v>
      </c>
      <c r="G695" s="10">
        <v>300000</v>
      </c>
    </row>
    <row r="696" spans="1:7" x14ac:dyDescent="0.35">
      <c r="A696" s="8" t="s">
        <v>1951</v>
      </c>
      <c r="B696" s="9" t="s">
        <v>1989</v>
      </c>
      <c r="C696" s="4">
        <v>43404</v>
      </c>
      <c r="D696" s="4">
        <v>43887</v>
      </c>
      <c r="E696" t="s">
        <v>1990</v>
      </c>
      <c r="F696" s="9" t="s">
        <v>5</v>
      </c>
      <c r="G696" s="10">
        <v>156056</v>
      </c>
    </row>
    <row r="697" spans="1:7" x14ac:dyDescent="0.35">
      <c r="A697" s="8" t="s">
        <v>1951</v>
      </c>
      <c r="B697" s="9" t="s">
        <v>1954</v>
      </c>
      <c r="C697" s="4">
        <v>43404</v>
      </c>
      <c r="D697" s="4">
        <v>44104</v>
      </c>
      <c r="E697" t="s">
        <v>1955</v>
      </c>
      <c r="F697" s="9" t="s">
        <v>5</v>
      </c>
      <c r="G697" s="10">
        <v>31819</v>
      </c>
    </row>
    <row r="698" spans="1:7" x14ac:dyDescent="0.35">
      <c r="A698" s="8" t="s">
        <v>1951</v>
      </c>
      <c r="B698" s="9" t="s">
        <v>1983</v>
      </c>
      <c r="C698" s="4">
        <v>43404</v>
      </c>
      <c r="D698" s="4">
        <v>43881</v>
      </c>
      <c r="E698" t="s">
        <v>1984</v>
      </c>
      <c r="F698" s="9" t="s">
        <v>5</v>
      </c>
      <c r="G698" s="10">
        <v>113610</v>
      </c>
    </row>
    <row r="699" spans="1:7" x14ac:dyDescent="0.35">
      <c r="A699" s="8" t="s">
        <v>1951</v>
      </c>
      <c r="B699" s="9" t="s">
        <v>1960</v>
      </c>
      <c r="C699" s="4">
        <v>43404</v>
      </c>
      <c r="D699" s="4">
        <v>43874</v>
      </c>
      <c r="E699" t="s">
        <v>1961</v>
      </c>
      <c r="F699" s="9" t="s">
        <v>5</v>
      </c>
      <c r="G699" s="10">
        <v>36198</v>
      </c>
    </row>
    <row r="700" spans="1:7" x14ac:dyDescent="0.35">
      <c r="A700" s="8" t="s">
        <v>1951</v>
      </c>
      <c r="B700" s="9" t="s">
        <v>2009</v>
      </c>
      <c r="C700" s="4">
        <v>43404</v>
      </c>
      <c r="D700" s="4">
        <v>43866</v>
      </c>
      <c r="E700" t="s">
        <v>2010</v>
      </c>
      <c r="F700" s="9" t="s">
        <v>5</v>
      </c>
      <c r="G700" s="10">
        <v>250000</v>
      </c>
    </row>
    <row r="701" spans="1:7" x14ac:dyDescent="0.35">
      <c r="A701" s="8" t="s">
        <v>1951</v>
      </c>
      <c r="B701" s="9" t="s">
        <v>2007</v>
      </c>
      <c r="C701" s="4">
        <v>43404</v>
      </c>
      <c r="D701" s="4">
        <v>43819</v>
      </c>
      <c r="E701" t="s">
        <v>2008</v>
      </c>
      <c r="F701" s="9" t="s">
        <v>5</v>
      </c>
      <c r="G701" s="10">
        <v>250000</v>
      </c>
    </row>
    <row r="702" spans="1:7" x14ac:dyDescent="0.35">
      <c r="A702" s="8" t="s">
        <v>1951</v>
      </c>
      <c r="B702" s="9" t="s">
        <v>1968</v>
      </c>
      <c r="C702" s="4">
        <v>43404</v>
      </c>
      <c r="D702" s="4">
        <v>44074</v>
      </c>
      <c r="E702" t="s">
        <v>1969</v>
      </c>
      <c r="F702" s="9" t="s">
        <v>5</v>
      </c>
      <c r="G702" s="10">
        <v>64721.01</v>
      </c>
    </row>
    <row r="703" spans="1:7" x14ac:dyDescent="0.35">
      <c r="A703" s="8" t="s">
        <v>1951</v>
      </c>
      <c r="B703" s="9" t="s">
        <v>1952</v>
      </c>
      <c r="C703" s="4">
        <v>43404</v>
      </c>
      <c r="D703" s="4">
        <v>43859</v>
      </c>
      <c r="E703" t="s">
        <v>1953</v>
      </c>
      <c r="F703" s="9" t="s">
        <v>5</v>
      </c>
      <c r="G703" s="10">
        <v>17480.189999999999</v>
      </c>
    </row>
    <row r="704" spans="1:7" x14ac:dyDescent="0.35">
      <c r="A704" s="8" t="s">
        <v>1951</v>
      </c>
      <c r="B704" s="9" t="s">
        <v>1974</v>
      </c>
      <c r="C704" s="4">
        <v>43404</v>
      </c>
      <c r="D704" s="4">
        <v>44010</v>
      </c>
      <c r="E704" t="s">
        <v>1975</v>
      </c>
      <c r="F704" s="9" t="s">
        <v>5</v>
      </c>
      <c r="G704" s="10">
        <v>87240</v>
      </c>
    </row>
    <row r="705" spans="1:7" x14ac:dyDescent="0.35">
      <c r="A705" s="8" t="s">
        <v>1951</v>
      </c>
      <c r="B705" s="9" t="s">
        <v>1979</v>
      </c>
      <c r="C705" s="4">
        <v>43404</v>
      </c>
      <c r="D705" s="4">
        <v>44034</v>
      </c>
      <c r="E705" t="s">
        <v>1980</v>
      </c>
      <c r="F705" s="9" t="s">
        <v>5</v>
      </c>
      <c r="G705" s="10">
        <v>97687</v>
      </c>
    </row>
    <row r="706" spans="1:7" x14ac:dyDescent="0.35">
      <c r="A706" s="8" t="s">
        <v>1951</v>
      </c>
      <c r="B706" s="9" t="s">
        <v>1991</v>
      </c>
      <c r="C706" s="4">
        <v>43404</v>
      </c>
      <c r="D706" s="4">
        <v>43868</v>
      </c>
      <c r="E706" t="s">
        <v>1992</v>
      </c>
      <c r="F706" s="9" t="s">
        <v>5</v>
      </c>
      <c r="G706" s="10">
        <v>167774.25</v>
      </c>
    </row>
    <row r="707" spans="1:7" x14ac:dyDescent="0.35">
      <c r="A707" s="8" t="s">
        <v>1951</v>
      </c>
      <c r="B707" s="9" t="s">
        <v>2021</v>
      </c>
      <c r="C707" s="4">
        <v>43404</v>
      </c>
      <c r="D707" s="4">
        <v>44036</v>
      </c>
      <c r="E707" t="s">
        <v>2022</v>
      </c>
      <c r="F707" s="9" t="s">
        <v>5</v>
      </c>
      <c r="G707" s="10">
        <v>300000</v>
      </c>
    </row>
    <row r="708" spans="1:7" x14ac:dyDescent="0.35">
      <c r="A708" s="8" t="s">
        <v>1951</v>
      </c>
      <c r="B708" s="9" t="s">
        <v>2005</v>
      </c>
      <c r="C708" s="4">
        <v>43404</v>
      </c>
      <c r="D708" s="4">
        <v>44102</v>
      </c>
      <c r="E708" t="s">
        <v>2006</v>
      </c>
      <c r="F708" s="9" t="s">
        <v>5</v>
      </c>
      <c r="G708" s="10">
        <v>240305</v>
      </c>
    </row>
    <row r="709" spans="1:7" x14ac:dyDescent="0.35">
      <c r="A709" s="8" t="s">
        <v>410</v>
      </c>
      <c r="B709" s="9" t="s">
        <v>411</v>
      </c>
      <c r="C709" s="4">
        <v>43404</v>
      </c>
      <c r="D709" s="4">
        <v>43487</v>
      </c>
      <c r="E709" t="s">
        <v>270</v>
      </c>
      <c r="F709" s="9" t="s">
        <v>4</v>
      </c>
      <c r="G709" s="10">
        <v>2000000</v>
      </c>
    </row>
    <row r="710" spans="1:7" x14ac:dyDescent="0.35">
      <c r="A710" s="8" t="s">
        <v>412</v>
      </c>
      <c r="B710" s="9" t="s">
        <v>413</v>
      </c>
      <c r="C710" s="4">
        <v>43404</v>
      </c>
      <c r="D710" s="4">
        <v>43487</v>
      </c>
      <c r="E710" t="s">
        <v>270</v>
      </c>
      <c r="F710" s="9" t="s">
        <v>4</v>
      </c>
      <c r="G710" s="10">
        <v>1500000</v>
      </c>
    </row>
    <row r="711" spans="1:7" x14ac:dyDescent="0.35">
      <c r="A711" s="8" t="s">
        <v>414</v>
      </c>
      <c r="B711" s="9" t="s">
        <v>415</v>
      </c>
      <c r="C711" s="4">
        <v>43404</v>
      </c>
      <c r="D711" s="4">
        <v>43487</v>
      </c>
      <c r="E711" t="s">
        <v>270</v>
      </c>
      <c r="F711" s="9" t="s">
        <v>4</v>
      </c>
      <c r="G711" s="10">
        <v>1000000</v>
      </c>
    </row>
    <row r="712" spans="1:7" x14ac:dyDescent="0.35">
      <c r="A712" s="8" t="s">
        <v>1951</v>
      </c>
      <c r="B712" s="9" t="s">
        <v>1999</v>
      </c>
      <c r="C712" s="4">
        <v>43404</v>
      </c>
      <c r="D712" s="4">
        <v>43899</v>
      </c>
      <c r="E712" t="s">
        <v>2000</v>
      </c>
      <c r="F712" s="9" t="s">
        <v>5</v>
      </c>
      <c r="G712" s="10">
        <v>208867</v>
      </c>
    </row>
    <row r="713" spans="1:7" x14ac:dyDescent="0.35">
      <c r="A713" s="8" t="s">
        <v>1951</v>
      </c>
      <c r="B713" s="9" t="s">
        <v>2001</v>
      </c>
      <c r="C713" s="4">
        <v>43404</v>
      </c>
      <c r="D713" s="4">
        <v>44077</v>
      </c>
      <c r="E713" t="s">
        <v>2002</v>
      </c>
      <c r="F713" s="9" t="s">
        <v>5</v>
      </c>
      <c r="G713" s="10">
        <v>209199</v>
      </c>
    </row>
    <row r="714" spans="1:7" x14ac:dyDescent="0.35">
      <c r="A714" s="8" t="s">
        <v>1951</v>
      </c>
      <c r="B714" s="9" t="s">
        <v>1956</v>
      </c>
      <c r="C714" s="4">
        <v>43404</v>
      </c>
      <c r="D714" s="4">
        <v>44069</v>
      </c>
      <c r="E714" t="s">
        <v>1957</v>
      </c>
      <c r="F714" s="9" t="s">
        <v>5</v>
      </c>
      <c r="G714" s="10">
        <v>33438.75</v>
      </c>
    </row>
    <row r="715" spans="1:7" x14ac:dyDescent="0.35">
      <c r="A715" s="8" t="s">
        <v>1951</v>
      </c>
      <c r="B715" s="9" t="s">
        <v>1966</v>
      </c>
      <c r="C715" s="4">
        <v>43404</v>
      </c>
      <c r="D715" s="4">
        <v>44117</v>
      </c>
      <c r="E715" t="s">
        <v>1967</v>
      </c>
      <c r="F715" s="9" t="s">
        <v>5</v>
      </c>
      <c r="G715" s="10">
        <v>52016</v>
      </c>
    </row>
    <row r="716" spans="1:7" x14ac:dyDescent="0.35">
      <c r="A716" s="8" t="s">
        <v>1951</v>
      </c>
      <c r="B716" s="9" t="s">
        <v>1962</v>
      </c>
      <c r="C716" s="4">
        <v>43404</v>
      </c>
      <c r="D716" s="4">
        <v>43881</v>
      </c>
      <c r="E716" t="s">
        <v>1963</v>
      </c>
      <c r="F716" s="9" t="s">
        <v>5</v>
      </c>
      <c r="G716" s="10">
        <v>39285</v>
      </c>
    </row>
    <row r="717" spans="1:7" x14ac:dyDescent="0.35">
      <c r="A717" s="8" t="s">
        <v>1951</v>
      </c>
      <c r="B717" s="9" t="s">
        <v>1993</v>
      </c>
      <c r="C717" s="4">
        <v>43404</v>
      </c>
      <c r="D717" s="4">
        <v>44039</v>
      </c>
      <c r="E717" t="s">
        <v>1994</v>
      </c>
      <c r="F717" s="9" t="s">
        <v>5</v>
      </c>
      <c r="G717" s="10">
        <v>175050</v>
      </c>
    </row>
    <row r="718" spans="1:7" x14ac:dyDescent="0.35">
      <c r="A718" s="8" t="s">
        <v>1951</v>
      </c>
      <c r="B718" s="9" t="s">
        <v>1970</v>
      </c>
      <c r="C718" s="4">
        <v>43404</v>
      </c>
      <c r="D718" s="4">
        <v>43861</v>
      </c>
      <c r="E718" t="s">
        <v>1971</v>
      </c>
      <c r="F718" s="9" t="s">
        <v>5</v>
      </c>
      <c r="G718" s="10">
        <v>79491</v>
      </c>
    </row>
    <row r="719" spans="1:7" x14ac:dyDescent="0.35">
      <c r="A719" s="8" t="s">
        <v>1951</v>
      </c>
      <c r="B719" s="9" t="s">
        <v>2015</v>
      </c>
      <c r="C719" s="4">
        <v>43404</v>
      </c>
      <c r="D719" s="4">
        <v>44022</v>
      </c>
      <c r="E719" t="s">
        <v>2016</v>
      </c>
      <c r="F719" s="9" t="s">
        <v>5</v>
      </c>
      <c r="G719" s="10">
        <v>260456</v>
      </c>
    </row>
    <row r="720" spans="1:7" x14ac:dyDescent="0.35">
      <c r="A720" s="8" t="s">
        <v>1951</v>
      </c>
      <c r="B720" s="9" t="s">
        <v>1972</v>
      </c>
      <c r="C720" s="4">
        <v>43404</v>
      </c>
      <c r="D720" s="4">
        <v>44049</v>
      </c>
      <c r="E720" t="s">
        <v>1973</v>
      </c>
      <c r="F720" s="9" t="s">
        <v>5</v>
      </c>
      <c r="G720" s="10">
        <v>84921</v>
      </c>
    </row>
    <row r="721" spans="1:7" x14ac:dyDescent="0.35">
      <c r="A721" s="8" t="s">
        <v>450</v>
      </c>
      <c r="B721" s="9" t="s">
        <v>451</v>
      </c>
      <c r="C721" s="4">
        <v>43404</v>
      </c>
      <c r="D721" s="4">
        <v>43565</v>
      </c>
      <c r="E721" t="s">
        <v>452</v>
      </c>
      <c r="F721" s="9" t="s">
        <v>4</v>
      </c>
      <c r="G721" s="10">
        <v>445063</v>
      </c>
    </row>
    <row r="722" spans="1:7" x14ac:dyDescent="0.35">
      <c r="A722" s="8" t="s">
        <v>444</v>
      </c>
      <c r="B722" s="9" t="s">
        <v>445</v>
      </c>
      <c r="C722" s="4">
        <v>43404</v>
      </c>
      <c r="D722" s="4">
        <v>43565</v>
      </c>
      <c r="E722" t="s">
        <v>446</v>
      </c>
      <c r="F722" s="9" t="s">
        <v>4</v>
      </c>
      <c r="G722" s="10">
        <v>888479</v>
      </c>
    </row>
    <row r="723" spans="1:7" x14ac:dyDescent="0.35">
      <c r="A723" s="8" t="s">
        <v>447</v>
      </c>
      <c r="B723" s="9" t="s">
        <v>448</v>
      </c>
      <c r="C723" s="4">
        <v>43404</v>
      </c>
      <c r="D723" s="4">
        <v>43565</v>
      </c>
      <c r="E723" t="s">
        <v>449</v>
      </c>
      <c r="F723" s="9" t="s">
        <v>4</v>
      </c>
      <c r="G723" s="10">
        <v>431029</v>
      </c>
    </row>
    <row r="724" spans="1:7" x14ac:dyDescent="0.35">
      <c r="A724" s="8" t="s">
        <v>1951</v>
      </c>
      <c r="B724" s="9" t="s">
        <v>1964</v>
      </c>
      <c r="C724" s="4">
        <v>43404</v>
      </c>
      <c r="D724" s="4">
        <v>43853</v>
      </c>
      <c r="E724" t="s">
        <v>1965</v>
      </c>
      <c r="F724" s="9" t="s">
        <v>5</v>
      </c>
      <c r="G724" s="10">
        <v>50000</v>
      </c>
    </row>
    <row r="725" spans="1:7" x14ac:dyDescent="0.35">
      <c r="A725" s="8" t="s">
        <v>1951</v>
      </c>
      <c r="B725" s="9" t="s">
        <v>2019</v>
      </c>
      <c r="C725" s="4">
        <v>43404</v>
      </c>
      <c r="D725" s="4">
        <v>43986</v>
      </c>
      <c r="E725" s="9" t="s">
        <v>2020</v>
      </c>
      <c r="F725" s="9" t="s">
        <v>5</v>
      </c>
      <c r="G725" s="10">
        <v>300000</v>
      </c>
    </row>
    <row r="726" spans="1:7" x14ac:dyDescent="0.35">
      <c r="A726" s="8" t="s">
        <v>430</v>
      </c>
      <c r="B726" s="9" t="s">
        <v>431</v>
      </c>
      <c r="C726" s="4">
        <v>43404</v>
      </c>
      <c r="D726" s="4">
        <v>43749</v>
      </c>
      <c r="E726" s="9" t="s">
        <v>432</v>
      </c>
      <c r="F726" s="9" t="s">
        <v>4</v>
      </c>
      <c r="G726" s="10">
        <v>620000</v>
      </c>
    </row>
    <row r="727" spans="1:7" x14ac:dyDescent="0.35">
      <c r="A727" s="8" t="s">
        <v>433</v>
      </c>
      <c r="B727" s="9" t="s">
        <v>434</v>
      </c>
      <c r="C727" s="4">
        <v>43404</v>
      </c>
      <c r="D727" s="4">
        <v>43749</v>
      </c>
      <c r="E727" t="s">
        <v>432</v>
      </c>
      <c r="F727" s="9" t="s">
        <v>4</v>
      </c>
      <c r="G727" s="10">
        <v>380000</v>
      </c>
    </row>
    <row r="728" spans="1:7" x14ac:dyDescent="0.35">
      <c r="A728" s="8" t="s">
        <v>1877</v>
      </c>
      <c r="B728" s="9" t="s">
        <v>1878</v>
      </c>
      <c r="C728" s="4">
        <v>43410</v>
      </c>
      <c r="D728" s="4">
        <v>43623</v>
      </c>
      <c r="E728" t="s">
        <v>1879</v>
      </c>
      <c r="F728" s="9" t="s">
        <v>5</v>
      </c>
      <c r="G728" s="10">
        <v>100000</v>
      </c>
    </row>
    <row r="729" spans="1:7" x14ac:dyDescent="0.35">
      <c r="A729" s="8" t="s">
        <v>1882</v>
      </c>
      <c r="B729" s="9" t="s">
        <v>1883</v>
      </c>
      <c r="C729" s="4">
        <v>43410</v>
      </c>
      <c r="D729" s="4">
        <v>43623</v>
      </c>
      <c r="E729" t="s">
        <v>1879</v>
      </c>
      <c r="F729" s="9" t="s">
        <v>5</v>
      </c>
      <c r="G729" s="10">
        <v>100000</v>
      </c>
    </row>
    <row r="730" spans="1:7" x14ac:dyDescent="0.35">
      <c r="A730" s="8" t="s">
        <v>1880</v>
      </c>
      <c r="B730" s="9" t="s">
        <v>1881</v>
      </c>
      <c r="C730" s="4">
        <v>43410</v>
      </c>
      <c r="D730" s="4">
        <v>43531</v>
      </c>
      <c r="E730" t="s">
        <v>1879</v>
      </c>
      <c r="F730" s="9" t="s">
        <v>5</v>
      </c>
      <c r="G730" s="10">
        <v>49000</v>
      </c>
    </row>
    <row r="731" spans="1:7" x14ac:dyDescent="0.35">
      <c r="A731" s="8" t="s">
        <v>460</v>
      </c>
      <c r="B731" s="9" t="s">
        <v>461</v>
      </c>
      <c r="C731" s="4">
        <v>43424</v>
      </c>
      <c r="D731" s="4">
        <v>43508</v>
      </c>
      <c r="E731" t="s">
        <v>462</v>
      </c>
      <c r="F731" s="9" t="s">
        <v>4</v>
      </c>
      <c r="G731" s="10">
        <v>115000</v>
      </c>
    </row>
    <row r="732" spans="1:7" x14ac:dyDescent="0.35">
      <c r="A732" s="8" t="s">
        <v>463</v>
      </c>
      <c r="B732" s="9" t="s">
        <v>464</v>
      </c>
      <c r="C732" s="4">
        <v>43424</v>
      </c>
      <c r="D732" s="4">
        <v>44006</v>
      </c>
      <c r="E732" t="s">
        <v>462</v>
      </c>
      <c r="F732" s="9" t="s">
        <v>4</v>
      </c>
      <c r="G732" s="10">
        <v>875000</v>
      </c>
    </row>
    <row r="733" spans="1:7" x14ac:dyDescent="0.35">
      <c r="A733" s="8" t="s">
        <v>420</v>
      </c>
      <c r="B733" s="9" t="s">
        <v>421</v>
      </c>
      <c r="C733" s="4">
        <v>43424</v>
      </c>
      <c r="D733" s="4">
        <v>43676</v>
      </c>
      <c r="E733" t="s">
        <v>233</v>
      </c>
      <c r="F733" s="9" t="s">
        <v>4</v>
      </c>
      <c r="G733" s="10">
        <v>370000</v>
      </c>
    </row>
    <row r="734" spans="1:7" x14ac:dyDescent="0.35">
      <c r="A734" s="8" t="s">
        <v>417</v>
      </c>
      <c r="B734" s="9" t="s">
        <v>418</v>
      </c>
      <c r="C734" s="4">
        <v>43424</v>
      </c>
      <c r="D734" s="4">
        <v>43531</v>
      </c>
      <c r="E734" t="s">
        <v>419</v>
      </c>
      <c r="F734" s="9" t="s">
        <v>4</v>
      </c>
      <c r="G734" s="10">
        <v>100000</v>
      </c>
    </row>
    <row r="735" spans="1:7" x14ac:dyDescent="0.35">
      <c r="A735" s="8" t="s">
        <v>458</v>
      </c>
      <c r="B735" s="9" t="s">
        <v>459</v>
      </c>
      <c r="C735" s="4">
        <v>43424</v>
      </c>
      <c r="D735" s="4">
        <v>43494</v>
      </c>
      <c r="E735" s="9" t="s">
        <v>455</v>
      </c>
      <c r="F735" s="9" t="s">
        <v>4</v>
      </c>
      <c r="G735" s="10">
        <v>250000</v>
      </c>
    </row>
    <row r="736" spans="1:7" x14ac:dyDescent="0.35">
      <c r="A736" s="8" t="s">
        <v>453</v>
      </c>
      <c r="B736" s="9" t="s">
        <v>454</v>
      </c>
      <c r="C736" s="4">
        <v>43424</v>
      </c>
      <c r="D736" s="4">
        <v>43450</v>
      </c>
      <c r="E736" s="9" t="s">
        <v>455</v>
      </c>
      <c r="F736" s="9" t="s">
        <v>4</v>
      </c>
      <c r="G736" s="10">
        <v>450000</v>
      </c>
    </row>
    <row r="737" spans="1:7" x14ac:dyDescent="0.35">
      <c r="A737" s="8" t="s">
        <v>456</v>
      </c>
      <c r="B737" s="9" t="s">
        <v>457</v>
      </c>
      <c r="C737" s="4">
        <v>43424</v>
      </c>
      <c r="D737" s="4">
        <v>43474</v>
      </c>
      <c r="E737" t="s">
        <v>455</v>
      </c>
      <c r="F737" s="9" t="s">
        <v>4</v>
      </c>
      <c r="G737" s="10">
        <v>800000</v>
      </c>
    </row>
    <row r="738" spans="1:7" x14ac:dyDescent="0.35">
      <c r="A738" s="8" t="s">
        <v>1589</v>
      </c>
      <c r="B738" s="9" t="s">
        <v>1590</v>
      </c>
      <c r="C738" s="4">
        <v>43431</v>
      </c>
      <c r="D738" s="4">
        <v>43509</v>
      </c>
      <c r="E738" t="s">
        <v>802</v>
      </c>
      <c r="F738" s="9" t="s">
        <v>5</v>
      </c>
      <c r="G738" s="10">
        <v>7652</v>
      </c>
    </row>
    <row r="739" spans="1:7" x14ac:dyDescent="0.35">
      <c r="A739" s="8" t="s">
        <v>1591</v>
      </c>
      <c r="B739" s="9" t="s">
        <v>1592</v>
      </c>
      <c r="C739" s="4">
        <v>43431</v>
      </c>
      <c r="D739" s="4">
        <v>43501</v>
      </c>
      <c r="E739" s="9" t="s">
        <v>774</v>
      </c>
      <c r="F739" s="9" t="s">
        <v>5</v>
      </c>
      <c r="G739" s="10">
        <v>11378</v>
      </c>
    </row>
    <row r="740" spans="1:7" x14ac:dyDescent="0.35">
      <c r="A740" s="8" t="s">
        <v>1593</v>
      </c>
      <c r="B740" s="9" t="s">
        <v>1594</v>
      </c>
      <c r="C740" s="4">
        <v>43432</v>
      </c>
      <c r="D740" s="4">
        <v>43530</v>
      </c>
      <c r="E740" t="s">
        <v>786</v>
      </c>
      <c r="F740" s="9" t="s">
        <v>5</v>
      </c>
      <c r="G740" s="10">
        <v>6220</v>
      </c>
    </row>
    <row r="741" spans="1:7" x14ac:dyDescent="0.35">
      <c r="A741" s="8" t="s">
        <v>441</v>
      </c>
      <c r="B741" s="9" t="s">
        <v>442</v>
      </c>
      <c r="C741" s="4">
        <v>43433</v>
      </c>
      <c r="D741" s="4">
        <v>43502</v>
      </c>
      <c r="E741" t="s">
        <v>443</v>
      </c>
      <c r="F741" s="9" t="s">
        <v>4</v>
      </c>
      <c r="G741" s="10">
        <v>544850</v>
      </c>
    </row>
    <row r="742" spans="1:7" x14ac:dyDescent="0.35">
      <c r="A742" s="8" t="s">
        <v>1884</v>
      </c>
      <c r="B742" s="9" t="s">
        <v>1885</v>
      </c>
      <c r="C742" s="4">
        <v>43437</v>
      </c>
      <c r="D742" s="4">
        <v>43552</v>
      </c>
      <c r="E742" t="s">
        <v>1670</v>
      </c>
      <c r="F742" s="9" t="s">
        <v>5</v>
      </c>
      <c r="G742" s="10">
        <v>50000</v>
      </c>
    </row>
    <row r="743" spans="1:7" x14ac:dyDescent="0.35">
      <c r="A743" s="8" t="s">
        <v>528</v>
      </c>
      <c r="B743" s="9" t="s">
        <v>2569</v>
      </c>
      <c r="C743" s="4">
        <v>43451</v>
      </c>
      <c r="D743" s="4"/>
      <c r="E743" t="s">
        <v>529</v>
      </c>
      <c r="F743" s="9" t="s">
        <v>4</v>
      </c>
      <c r="G743" s="10">
        <v>1200000</v>
      </c>
    </row>
    <row r="744" spans="1:7" x14ac:dyDescent="0.35">
      <c r="A744" s="8" t="s">
        <v>1947</v>
      </c>
      <c r="B744" s="9" t="s">
        <v>1948</v>
      </c>
      <c r="C744" s="4">
        <v>43452</v>
      </c>
      <c r="D744" s="4">
        <v>43521</v>
      </c>
      <c r="E744" t="s">
        <v>1295</v>
      </c>
      <c r="F744" s="9" t="s">
        <v>5</v>
      </c>
      <c r="G744" s="10">
        <v>46230</v>
      </c>
    </row>
    <row r="745" spans="1:7" x14ac:dyDescent="0.35">
      <c r="A745" s="8" t="s">
        <v>543</v>
      </c>
      <c r="B745" s="9" t="s">
        <v>544</v>
      </c>
      <c r="C745" s="4">
        <v>43455</v>
      </c>
      <c r="D745" s="4">
        <v>43768</v>
      </c>
      <c r="E745" t="s">
        <v>545</v>
      </c>
      <c r="F745" s="9" t="s">
        <v>4</v>
      </c>
      <c r="G745" s="10">
        <v>45000</v>
      </c>
    </row>
    <row r="746" spans="1:7" x14ac:dyDescent="0.35">
      <c r="A746" s="8" t="s">
        <v>548</v>
      </c>
      <c r="B746" s="9" t="s">
        <v>549</v>
      </c>
      <c r="C746" s="4">
        <v>43455</v>
      </c>
      <c r="D746" s="4">
        <v>43874</v>
      </c>
      <c r="E746" t="s">
        <v>545</v>
      </c>
      <c r="F746" s="9" t="s">
        <v>4</v>
      </c>
      <c r="G746" s="10">
        <v>700000</v>
      </c>
    </row>
    <row r="747" spans="1:7" x14ac:dyDescent="0.35">
      <c r="A747" s="8" t="s">
        <v>546</v>
      </c>
      <c r="B747" s="9" t="s">
        <v>547</v>
      </c>
      <c r="C747" s="4">
        <v>43455</v>
      </c>
      <c r="D747" s="4">
        <v>43874</v>
      </c>
      <c r="E747" t="s">
        <v>545</v>
      </c>
      <c r="F747" s="9" t="s">
        <v>4</v>
      </c>
      <c r="G747" s="10">
        <v>2000000</v>
      </c>
    </row>
    <row r="748" spans="1:7" x14ac:dyDescent="0.35">
      <c r="A748" s="8" t="s">
        <v>581</v>
      </c>
      <c r="B748" s="9" t="s">
        <v>582</v>
      </c>
      <c r="C748" s="4">
        <v>43455</v>
      </c>
      <c r="D748" s="4">
        <v>44047</v>
      </c>
      <c r="E748" t="s">
        <v>583</v>
      </c>
      <c r="F748" s="9" t="s">
        <v>4</v>
      </c>
      <c r="G748" s="10">
        <v>144000</v>
      </c>
    </row>
    <row r="749" spans="1:7" x14ac:dyDescent="0.35">
      <c r="A749" s="8" t="s">
        <v>584</v>
      </c>
      <c r="B749" s="9" t="s">
        <v>585</v>
      </c>
      <c r="C749" s="4">
        <v>43455</v>
      </c>
      <c r="D749" s="4">
        <v>44047</v>
      </c>
      <c r="E749" t="s">
        <v>583</v>
      </c>
      <c r="F749" s="9" t="s">
        <v>4</v>
      </c>
      <c r="G749" s="10">
        <v>1000000</v>
      </c>
    </row>
    <row r="750" spans="1:7" x14ac:dyDescent="0.35">
      <c r="A750" s="8" t="s">
        <v>586</v>
      </c>
      <c r="B750" s="9" t="s">
        <v>587</v>
      </c>
      <c r="C750" s="4">
        <v>43455</v>
      </c>
      <c r="D750" s="4">
        <v>44047</v>
      </c>
      <c r="E750" t="s">
        <v>583</v>
      </c>
      <c r="F750" s="9" t="s">
        <v>4</v>
      </c>
      <c r="G750" s="10">
        <v>1000000</v>
      </c>
    </row>
    <row r="751" spans="1:7" x14ac:dyDescent="0.35">
      <c r="A751" s="8" t="s">
        <v>523</v>
      </c>
      <c r="B751" s="9" t="s">
        <v>524</v>
      </c>
      <c r="C751" s="4">
        <v>43455</v>
      </c>
      <c r="D751" s="4">
        <v>43587</v>
      </c>
      <c r="E751" t="s">
        <v>525</v>
      </c>
      <c r="F751" s="9" t="s">
        <v>4</v>
      </c>
      <c r="G751" s="10">
        <v>30000</v>
      </c>
    </row>
    <row r="752" spans="1:7" x14ac:dyDescent="0.35">
      <c r="A752" s="8" t="s">
        <v>526</v>
      </c>
      <c r="B752" s="9" t="s">
        <v>527</v>
      </c>
      <c r="C752" s="4">
        <v>43455</v>
      </c>
      <c r="D752" s="4">
        <v>43587</v>
      </c>
      <c r="E752" t="s">
        <v>525</v>
      </c>
      <c r="F752" s="9" t="s">
        <v>4</v>
      </c>
      <c r="G752" s="10">
        <v>270000</v>
      </c>
    </row>
    <row r="753" spans="1:7" x14ac:dyDescent="0.35">
      <c r="A753" s="8" t="s">
        <v>467</v>
      </c>
      <c r="B753" s="9" t="s">
        <v>468</v>
      </c>
      <c r="C753" s="4">
        <v>43473</v>
      </c>
      <c r="D753" s="4">
        <v>43665</v>
      </c>
      <c r="E753" t="s">
        <v>469</v>
      </c>
      <c r="F753" s="9" t="s">
        <v>4</v>
      </c>
      <c r="G753" s="10">
        <v>1239000</v>
      </c>
    </row>
    <row r="754" spans="1:7" x14ac:dyDescent="0.35">
      <c r="A754" s="8" t="s">
        <v>470</v>
      </c>
      <c r="B754" s="9" t="s">
        <v>471</v>
      </c>
      <c r="C754" s="4">
        <v>43473</v>
      </c>
      <c r="D754" s="4">
        <v>43665</v>
      </c>
      <c r="E754" t="s">
        <v>469</v>
      </c>
      <c r="F754" s="9" t="s">
        <v>4</v>
      </c>
      <c r="G754" s="10">
        <v>3000000</v>
      </c>
    </row>
    <row r="755" spans="1:7" x14ac:dyDescent="0.35">
      <c r="A755" s="8" t="s">
        <v>501</v>
      </c>
      <c r="B755" s="9" t="s">
        <v>502</v>
      </c>
      <c r="C755" s="4">
        <v>43473</v>
      </c>
      <c r="D755" s="4">
        <v>43524</v>
      </c>
      <c r="E755" t="s">
        <v>503</v>
      </c>
      <c r="F755" s="9" t="s">
        <v>4</v>
      </c>
      <c r="G755" s="10">
        <v>146648.76</v>
      </c>
    </row>
    <row r="756" spans="1:7" x14ac:dyDescent="0.35">
      <c r="A756" s="8" t="s">
        <v>472</v>
      </c>
      <c r="B756" s="9" t="s">
        <v>473</v>
      </c>
      <c r="C756" s="4">
        <v>43473</v>
      </c>
      <c r="D756" s="4">
        <v>43693</v>
      </c>
      <c r="E756" t="s">
        <v>282</v>
      </c>
      <c r="F756" s="9" t="s">
        <v>4</v>
      </c>
      <c r="G756" s="10">
        <v>1080000</v>
      </c>
    </row>
    <row r="757" spans="1:7" x14ac:dyDescent="0.35">
      <c r="A757" s="8" t="s">
        <v>478</v>
      </c>
      <c r="B757" s="9" t="s">
        <v>479</v>
      </c>
      <c r="C757" s="4">
        <v>43473</v>
      </c>
      <c r="D757" s="4">
        <v>43621</v>
      </c>
      <c r="E757" t="s">
        <v>282</v>
      </c>
      <c r="F757" s="9" t="s">
        <v>4</v>
      </c>
      <c r="G757" s="10">
        <v>5000000</v>
      </c>
    </row>
    <row r="758" spans="1:7" x14ac:dyDescent="0.35">
      <c r="A758" s="8" t="s">
        <v>474</v>
      </c>
      <c r="B758" s="9" t="s">
        <v>2569</v>
      </c>
      <c r="C758" s="4">
        <v>43473</v>
      </c>
      <c r="D758" s="4"/>
      <c r="E758" t="s">
        <v>282</v>
      </c>
      <c r="F758" s="9" t="s">
        <v>4</v>
      </c>
      <c r="G758" s="10">
        <v>2400000</v>
      </c>
    </row>
    <row r="759" spans="1:7" x14ac:dyDescent="0.35">
      <c r="A759" s="8" t="s">
        <v>475</v>
      </c>
      <c r="B759" s="9" t="s">
        <v>2569</v>
      </c>
      <c r="C759" s="4">
        <v>43473</v>
      </c>
      <c r="D759" s="4"/>
      <c r="E759" t="s">
        <v>282</v>
      </c>
      <c r="F759" s="9" t="s">
        <v>4</v>
      </c>
      <c r="G759" s="10">
        <v>5900000</v>
      </c>
    </row>
    <row r="760" spans="1:7" x14ac:dyDescent="0.35">
      <c r="A760" s="8" t="s">
        <v>476</v>
      </c>
      <c r="B760" s="9" t="s">
        <v>477</v>
      </c>
      <c r="C760" s="4">
        <v>43473</v>
      </c>
      <c r="D760" s="4">
        <v>43693</v>
      </c>
      <c r="E760" t="s">
        <v>282</v>
      </c>
      <c r="F760" s="9" t="s">
        <v>4</v>
      </c>
      <c r="G760" s="10">
        <v>2588000</v>
      </c>
    </row>
    <row r="761" spans="1:7" x14ac:dyDescent="0.35">
      <c r="A761" s="8" t="s">
        <v>499</v>
      </c>
      <c r="B761" s="9" t="s">
        <v>500</v>
      </c>
      <c r="C761" s="4">
        <v>43473</v>
      </c>
      <c r="D761" s="4">
        <v>43757</v>
      </c>
      <c r="E761" t="s">
        <v>482</v>
      </c>
      <c r="F761" s="9" t="s">
        <v>4</v>
      </c>
      <c r="G761" s="10">
        <v>210000</v>
      </c>
    </row>
    <row r="762" spans="1:7" x14ac:dyDescent="0.35">
      <c r="A762" s="8" t="s">
        <v>480</v>
      </c>
      <c r="B762" s="9" t="s">
        <v>481</v>
      </c>
      <c r="C762" s="4">
        <v>43473</v>
      </c>
      <c r="D762" s="4">
        <v>43616</v>
      </c>
      <c r="E762" t="s">
        <v>482</v>
      </c>
      <c r="F762" s="9" t="s">
        <v>4</v>
      </c>
      <c r="G762" s="10">
        <v>75000</v>
      </c>
    </row>
    <row r="763" spans="1:7" x14ac:dyDescent="0.35">
      <c r="A763" s="8" t="s">
        <v>496</v>
      </c>
      <c r="B763" s="9" t="s">
        <v>497</v>
      </c>
      <c r="C763" s="4">
        <v>43473</v>
      </c>
      <c r="D763" s="4">
        <v>43517</v>
      </c>
      <c r="E763" t="s">
        <v>498</v>
      </c>
      <c r="F763" s="9" t="s">
        <v>4</v>
      </c>
      <c r="G763" s="10">
        <v>100000</v>
      </c>
    </row>
    <row r="764" spans="1:7" x14ac:dyDescent="0.35">
      <c r="A764" s="8" t="s">
        <v>1949</v>
      </c>
      <c r="B764" s="9" t="s">
        <v>1950</v>
      </c>
      <c r="C764" s="4">
        <v>43473</v>
      </c>
      <c r="D764" s="4">
        <v>43518</v>
      </c>
      <c r="E764" t="s">
        <v>1083</v>
      </c>
      <c r="F764" s="9" t="s">
        <v>5</v>
      </c>
      <c r="G764" s="10">
        <v>107500</v>
      </c>
    </row>
    <row r="765" spans="1:7" x14ac:dyDescent="0.35">
      <c r="A765" s="8" t="s">
        <v>521</v>
      </c>
      <c r="B765" s="9" t="s">
        <v>522</v>
      </c>
      <c r="C765" s="4">
        <v>43473</v>
      </c>
      <c r="D765" s="4">
        <v>43572</v>
      </c>
      <c r="E765" t="s">
        <v>518</v>
      </c>
      <c r="F765" s="9" t="s">
        <v>4</v>
      </c>
      <c r="G765" s="10">
        <v>150000</v>
      </c>
    </row>
    <row r="766" spans="1:7" x14ac:dyDescent="0.35">
      <c r="A766" s="8" t="s">
        <v>519</v>
      </c>
      <c r="B766" s="9" t="s">
        <v>520</v>
      </c>
      <c r="C766" s="4">
        <v>43473</v>
      </c>
      <c r="D766" s="4">
        <v>43572</v>
      </c>
      <c r="E766" t="s">
        <v>518</v>
      </c>
      <c r="F766" s="9" t="s">
        <v>4</v>
      </c>
      <c r="G766" s="10">
        <v>300000</v>
      </c>
    </row>
    <row r="767" spans="1:7" x14ac:dyDescent="0.35">
      <c r="A767" s="8" t="s">
        <v>491</v>
      </c>
      <c r="B767" s="9" t="s">
        <v>492</v>
      </c>
      <c r="C767" s="4">
        <v>43473</v>
      </c>
      <c r="D767" s="4">
        <v>43518</v>
      </c>
      <c r="E767" t="s">
        <v>493</v>
      </c>
      <c r="F767" s="9" t="s">
        <v>4</v>
      </c>
      <c r="G767" s="10">
        <v>350000</v>
      </c>
    </row>
    <row r="768" spans="1:7" x14ac:dyDescent="0.35">
      <c r="A768" s="8" t="s">
        <v>494</v>
      </c>
      <c r="B768" s="9" t="s">
        <v>495</v>
      </c>
      <c r="C768" s="4">
        <v>43473</v>
      </c>
      <c r="D768" s="4">
        <v>43518</v>
      </c>
      <c r="E768" t="s">
        <v>493</v>
      </c>
      <c r="F768" s="9" t="s">
        <v>4</v>
      </c>
      <c r="G768" s="10">
        <v>500000</v>
      </c>
    </row>
    <row r="769" spans="1:7" x14ac:dyDescent="0.35">
      <c r="A769" s="8" t="s">
        <v>483</v>
      </c>
      <c r="B769" s="9" t="s">
        <v>2569</v>
      </c>
      <c r="C769" s="4">
        <v>43473</v>
      </c>
      <c r="D769" s="4"/>
      <c r="E769" t="s">
        <v>484</v>
      </c>
      <c r="F769" s="9" t="s">
        <v>4</v>
      </c>
      <c r="G769" s="10">
        <v>162500</v>
      </c>
    </row>
    <row r="770" spans="1:7" x14ac:dyDescent="0.35">
      <c r="A770" s="8" t="s">
        <v>485</v>
      </c>
      <c r="B770" s="9" t="s">
        <v>2569</v>
      </c>
      <c r="C770" s="4">
        <v>43473</v>
      </c>
      <c r="D770" s="4"/>
      <c r="E770" t="s">
        <v>484</v>
      </c>
      <c r="F770" s="9" t="s">
        <v>4</v>
      </c>
      <c r="G770" s="10">
        <v>100000</v>
      </c>
    </row>
    <row r="771" spans="1:7" x14ac:dyDescent="0.35">
      <c r="A771" s="8" t="s">
        <v>506</v>
      </c>
      <c r="B771" s="9" t="s">
        <v>507</v>
      </c>
      <c r="C771" s="4">
        <v>43473</v>
      </c>
      <c r="D771" s="4">
        <v>43529</v>
      </c>
      <c r="E771" t="s">
        <v>508</v>
      </c>
      <c r="F771" s="9" t="s">
        <v>4</v>
      </c>
      <c r="G771" s="10">
        <v>5079000</v>
      </c>
    </row>
    <row r="772" spans="1:7" x14ac:dyDescent="0.35">
      <c r="A772" s="8" t="s">
        <v>509</v>
      </c>
      <c r="B772" s="9" t="s">
        <v>510</v>
      </c>
      <c r="C772" s="4">
        <v>43473</v>
      </c>
      <c r="D772" s="4">
        <v>43529</v>
      </c>
      <c r="E772" t="s">
        <v>508</v>
      </c>
      <c r="F772" s="9" t="s">
        <v>4</v>
      </c>
      <c r="G772" s="10">
        <v>15000000</v>
      </c>
    </row>
    <row r="773" spans="1:7" x14ac:dyDescent="0.35">
      <c r="A773" s="8" t="s">
        <v>465</v>
      </c>
      <c r="B773" s="9" t="s">
        <v>466</v>
      </c>
      <c r="C773" s="4">
        <v>43473</v>
      </c>
      <c r="D773" s="4">
        <v>43502</v>
      </c>
      <c r="E773" t="s">
        <v>191</v>
      </c>
      <c r="F773" s="9" t="s">
        <v>4</v>
      </c>
      <c r="G773" s="10">
        <v>171500</v>
      </c>
    </row>
    <row r="774" spans="1:7" x14ac:dyDescent="0.35">
      <c r="A774" s="8" t="s">
        <v>1648</v>
      </c>
      <c r="B774" s="9" t="s">
        <v>2569</v>
      </c>
      <c r="C774" s="4">
        <v>43481</v>
      </c>
      <c r="D774" s="4"/>
      <c r="E774" t="s">
        <v>1649</v>
      </c>
      <c r="F774" s="9" t="s">
        <v>5</v>
      </c>
      <c r="G774" s="10">
        <v>150000</v>
      </c>
    </row>
    <row r="775" spans="1:7" x14ac:dyDescent="0.35">
      <c r="A775" s="8" t="s">
        <v>2025</v>
      </c>
      <c r="B775" s="9" t="s">
        <v>2569</v>
      </c>
      <c r="C775" s="4">
        <v>43487</v>
      </c>
      <c r="D775" s="4"/>
      <c r="E775" t="s">
        <v>2026</v>
      </c>
      <c r="F775" s="9" t="s">
        <v>5</v>
      </c>
      <c r="G775" s="10">
        <v>8000</v>
      </c>
    </row>
    <row r="776" spans="1:7" x14ac:dyDescent="0.35">
      <c r="A776" s="8" t="s">
        <v>2023</v>
      </c>
      <c r="B776" s="9" t="s">
        <v>2024</v>
      </c>
      <c r="C776" s="4">
        <v>43487</v>
      </c>
      <c r="D776" s="4">
        <v>43693</v>
      </c>
      <c r="E776" t="s">
        <v>1118</v>
      </c>
      <c r="F776" s="9" t="s">
        <v>5</v>
      </c>
      <c r="G776" s="10">
        <v>107116</v>
      </c>
    </row>
    <row r="777" spans="1:7" x14ac:dyDescent="0.35">
      <c r="A777" s="8" t="s">
        <v>2027</v>
      </c>
      <c r="B777" s="9" t="s">
        <v>2028</v>
      </c>
      <c r="C777" s="4">
        <v>43490</v>
      </c>
      <c r="D777" s="4">
        <v>43543</v>
      </c>
      <c r="E777" t="s">
        <v>152</v>
      </c>
      <c r="F777" s="9" t="s">
        <v>5</v>
      </c>
      <c r="G777" s="10">
        <v>250000</v>
      </c>
    </row>
    <row r="778" spans="1:7" x14ac:dyDescent="0.35">
      <c r="A778" s="8" t="s">
        <v>513</v>
      </c>
      <c r="B778" s="9" t="s">
        <v>514</v>
      </c>
      <c r="C778" s="4">
        <v>43496</v>
      </c>
      <c r="D778" s="4">
        <v>43539</v>
      </c>
      <c r="E778" t="s">
        <v>515</v>
      </c>
      <c r="F778" s="9" t="s">
        <v>4</v>
      </c>
      <c r="G778" s="10">
        <v>125000</v>
      </c>
    </row>
    <row r="779" spans="1:7" x14ac:dyDescent="0.35">
      <c r="A779" s="8" t="s">
        <v>541</v>
      </c>
      <c r="B779" s="9" t="s">
        <v>542</v>
      </c>
      <c r="C779" s="4">
        <v>43496</v>
      </c>
      <c r="D779" s="4">
        <v>43594</v>
      </c>
      <c r="E779" t="s">
        <v>540</v>
      </c>
      <c r="F779" s="9" t="s">
        <v>4</v>
      </c>
      <c r="G779" s="10">
        <v>104000</v>
      </c>
    </row>
    <row r="780" spans="1:7" x14ac:dyDescent="0.35">
      <c r="A780" s="8" t="s">
        <v>538</v>
      </c>
      <c r="B780" s="9" t="s">
        <v>539</v>
      </c>
      <c r="C780" s="4">
        <v>43496</v>
      </c>
      <c r="D780" s="4">
        <v>43594</v>
      </c>
      <c r="E780" t="s">
        <v>540</v>
      </c>
      <c r="F780" s="9" t="s">
        <v>4</v>
      </c>
      <c r="G780" s="10">
        <v>900000</v>
      </c>
    </row>
    <row r="781" spans="1:7" x14ac:dyDescent="0.35">
      <c r="A781" s="8" t="s">
        <v>561</v>
      </c>
      <c r="B781" s="9" t="s">
        <v>562</v>
      </c>
      <c r="C781" s="4">
        <v>43496</v>
      </c>
      <c r="D781" s="4">
        <v>44088</v>
      </c>
      <c r="E781" t="s">
        <v>563</v>
      </c>
      <c r="F781" s="9" t="s">
        <v>4</v>
      </c>
      <c r="G781" s="10">
        <v>3537500</v>
      </c>
    </row>
    <row r="782" spans="1:7" x14ac:dyDescent="0.35">
      <c r="A782" s="8" t="s">
        <v>564</v>
      </c>
      <c r="B782" s="9" t="s">
        <v>565</v>
      </c>
      <c r="C782" s="4">
        <v>43496</v>
      </c>
      <c r="D782" s="4">
        <v>44088</v>
      </c>
      <c r="E782" t="s">
        <v>563</v>
      </c>
      <c r="F782" s="9" t="s">
        <v>4</v>
      </c>
      <c r="G782" s="10">
        <v>1100000</v>
      </c>
    </row>
    <row r="783" spans="1:7" x14ac:dyDescent="0.35">
      <c r="A783" s="8" t="s">
        <v>1599</v>
      </c>
      <c r="B783" s="9" t="s">
        <v>1600</v>
      </c>
      <c r="C783" s="4">
        <v>43501</v>
      </c>
      <c r="D783" s="4">
        <v>43578</v>
      </c>
      <c r="E783" t="s">
        <v>780</v>
      </c>
      <c r="F783" s="9" t="s">
        <v>5</v>
      </c>
      <c r="G783" s="10">
        <v>1775</v>
      </c>
    </row>
    <row r="784" spans="1:7" x14ac:dyDescent="0.35">
      <c r="A784" s="8" t="s">
        <v>1603</v>
      </c>
      <c r="B784" s="9" t="s">
        <v>1604</v>
      </c>
      <c r="C784" s="4">
        <v>43501</v>
      </c>
      <c r="D784" s="4">
        <v>43543</v>
      </c>
      <c r="E784" t="s">
        <v>810</v>
      </c>
      <c r="F784" s="9" t="s">
        <v>5</v>
      </c>
      <c r="G784" s="10">
        <v>3346</v>
      </c>
    </row>
    <row r="785" spans="1:7" x14ac:dyDescent="0.35">
      <c r="A785" s="8" t="s">
        <v>1595</v>
      </c>
      <c r="B785" s="9" t="s">
        <v>1596</v>
      </c>
      <c r="C785" s="4">
        <v>43501</v>
      </c>
      <c r="D785" s="4">
        <v>43535</v>
      </c>
      <c r="E785" t="s">
        <v>799</v>
      </c>
      <c r="F785" s="9" t="s">
        <v>5</v>
      </c>
      <c r="G785" s="10">
        <v>32993</v>
      </c>
    </row>
    <row r="786" spans="1:7" x14ac:dyDescent="0.35">
      <c r="A786" s="8" t="s">
        <v>1601</v>
      </c>
      <c r="B786" s="9" t="s">
        <v>1602</v>
      </c>
      <c r="C786" s="4">
        <v>43501</v>
      </c>
      <c r="D786" s="4">
        <v>43553</v>
      </c>
      <c r="E786" t="s">
        <v>774</v>
      </c>
      <c r="F786" s="9" t="s">
        <v>5</v>
      </c>
      <c r="G786" s="10">
        <v>16748</v>
      </c>
    </row>
    <row r="787" spans="1:7" x14ac:dyDescent="0.35">
      <c r="A787" s="8" t="s">
        <v>1597</v>
      </c>
      <c r="B787" s="9" t="s">
        <v>1598</v>
      </c>
      <c r="C787" s="4">
        <v>43501</v>
      </c>
      <c r="D787" s="4">
        <v>43581</v>
      </c>
      <c r="E787" t="s">
        <v>783</v>
      </c>
      <c r="F787" s="9" t="s">
        <v>5</v>
      </c>
      <c r="G787" s="10">
        <v>8881</v>
      </c>
    </row>
    <row r="788" spans="1:7" x14ac:dyDescent="0.35">
      <c r="A788" s="8" t="s">
        <v>2030</v>
      </c>
      <c r="B788" s="9" t="s">
        <v>2031</v>
      </c>
      <c r="C788" s="4">
        <v>43509</v>
      </c>
      <c r="D788" s="4">
        <v>43619</v>
      </c>
      <c r="E788" t="s">
        <v>2032</v>
      </c>
      <c r="F788" s="9" t="s">
        <v>5</v>
      </c>
      <c r="G788" s="10">
        <v>48000</v>
      </c>
    </row>
    <row r="789" spans="1:7" x14ac:dyDescent="0.35">
      <c r="A789" s="8" t="s">
        <v>2036</v>
      </c>
      <c r="B789" s="9" t="s">
        <v>2569</v>
      </c>
      <c r="C789" s="4">
        <v>43517</v>
      </c>
      <c r="D789" s="4"/>
      <c r="E789" t="s">
        <v>2037</v>
      </c>
      <c r="F789" s="9" t="s">
        <v>5</v>
      </c>
      <c r="G789" s="10">
        <v>5000</v>
      </c>
    </row>
    <row r="790" spans="1:7" x14ac:dyDescent="0.35">
      <c r="A790" s="8" t="s">
        <v>2038</v>
      </c>
      <c r="B790" s="9" t="s">
        <v>2569</v>
      </c>
      <c r="C790" s="4">
        <v>43517</v>
      </c>
      <c r="D790" s="4"/>
      <c r="E790" t="s">
        <v>2037</v>
      </c>
      <c r="F790" s="9" t="s">
        <v>5</v>
      </c>
      <c r="G790" s="10">
        <v>46290</v>
      </c>
    </row>
    <row r="791" spans="1:7" x14ac:dyDescent="0.35">
      <c r="A791" s="8" t="s">
        <v>2033</v>
      </c>
      <c r="B791" s="9" t="s">
        <v>2034</v>
      </c>
      <c r="C791" s="4">
        <v>43517</v>
      </c>
      <c r="D791" s="4">
        <v>43572</v>
      </c>
      <c r="E791" t="s">
        <v>2035</v>
      </c>
      <c r="F791" s="9" t="s">
        <v>5</v>
      </c>
      <c r="G791" s="10">
        <v>35263.800000000003</v>
      </c>
    </row>
    <row r="792" spans="1:7" x14ac:dyDescent="0.35">
      <c r="A792" s="8" t="s">
        <v>2041</v>
      </c>
      <c r="B792" s="9" t="s">
        <v>2569</v>
      </c>
      <c r="C792" s="4">
        <v>43523</v>
      </c>
      <c r="D792" s="4"/>
      <c r="E792" t="s">
        <v>2044</v>
      </c>
      <c r="F792" s="9" t="s">
        <v>5</v>
      </c>
      <c r="G792" s="10">
        <v>202500</v>
      </c>
    </row>
    <row r="793" spans="1:7" x14ac:dyDescent="0.35">
      <c r="A793" s="8" t="s">
        <v>2042</v>
      </c>
      <c r="B793" s="9" t="s">
        <v>2043</v>
      </c>
      <c r="C793" s="4">
        <v>43523</v>
      </c>
      <c r="D793" s="4">
        <v>43644</v>
      </c>
      <c r="E793" t="s">
        <v>2044</v>
      </c>
      <c r="F793" s="9" t="s">
        <v>5</v>
      </c>
      <c r="G793" s="10">
        <v>40000</v>
      </c>
    </row>
    <row r="794" spans="1:7" x14ac:dyDescent="0.35">
      <c r="A794" s="8" t="s">
        <v>574</v>
      </c>
      <c r="B794" s="9" t="s">
        <v>575</v>
      </c>
      <c r="C794" s="4">
        <v>43524</v>
      </c>
      <c r="D794" s="4">
        <v>43728</v>
      </c>
      <c r="E794" t="s">
        <v>576</v>
      </c>
      <c r="F794" s="9" t="s">
        <v>4</v>
      </c>
      <c r="G794" s="10">
        <v>1320000</v>
      </c>
    </row>
    <row r="795" spans="1:7" x14ac:dyDescent="0.35">
      <c r="A795" s="8" t="s">
        <v>579</v>
      </c>
      <c r="B795" s="9" t="s">
        <v>580</v>
      </c>
      <c r="C795" s="4">
        <v>43524</v>
      </c>
      <c r="D795" s="4">
        <v>43728</v>
      </c>
      <c r="E795" t="s">
        <v>576</v>
      </c>
      <c r="F795" s="9" t="s">
        <v>4</v>
      </c>
      <c r="G795" s="10">
        <v>3400000</v>
      </c>
    </row>
    <row r="796" spans="1:7" x14ac:dyDescent="0.35">
      <c r="A796" s="8" t="s">
        <v>577</v>
      </c>
      <c r="B796" s="9" t="s">
        <v>578</v>
      </c>
      <c r="C796" s="4">
        <v>43524</v>
      </c>
      <c r="D796" s="4">
        <v>43728</v>
      </c>
      <c r="E796" t="s">
        <v>576</v>
      </c>
      <c r="F796" s="9" t="s">
        <v>4</v>
      </c>
      <c r="G796" s="10">
        <v>4500000</v>
      </c>
    </row>
    <row r="797" spans="1:7" x14ac:dyDescent="0.35">
      <c r="A797" s="8" t="s">
        <v>530</v>
      </c>
      <c r="B797" s="9" t="s">
        <v>531</v>
      </c>
      <c r="C797" s="4">
        <v>43524</v>
      </c>
      <c r="D797" s="4">
        <v>43665</v>
      </c>
      <c r="E797" t="s">
        <v>532</v>
      </c>
      <c r="F797" s="9" t="s">
        <v>4</v>
      </c>
      <c r="G797" s="10">
        <v>260000</v>
      </c>
    </row>
    <row r="798" spans="1:7" x14ac:dyDescent="0.35">
      <c r="A798" s="8" t="s">
        <v>557</v>
      </c>
      <c r="B798" s="9" t="s">
        <v>558</v>
      </c>
      <c r="C798" s="4">
        <v>43524</v>
      </c>
      <c r="D798" s="4">
        <v>43683</v>
      </c>
      <c r="E798" t="s">
        <v>354</v>
      </c>
      <c r="F798" s="9" t="s">
        <v>4</v>
      </c>
      <c r="G798" s="10">
        <v>1350000</v>
      </c>
    </row>
    <row r="799" spans="1:7" x14ac:dyDescent="0.35">
      <c r="A799" s="8" t="s">
        <v>559</v>
      </c>
      <c r="B799" s="9" t="s">
        <v>560</v>
      </c>
      <c r="C799" s="4">
        <v>43524</v>
      </c>
      <c r="D799" s="4">
        <v>43683</v>
      </c>
      <c r="E799" t="s">
        <v>354</v>
      </c>
      <c r="F799" s="9" t="s">
        <v>4</v>
      </c>
      <c r="G799" s="10">
        <v>500000</v>
      </c>
    </row>
    <row r="800" spans="1:7" x14ac:dyDescent="0.35">
      <c r="A800" s="8" t="s">
        <v>588</v>
      </c>
      <c r="B800" s="9" t="s">
        <v>2569</v>
      </c>
      <c r="C800" s="4">
        <v>43524</v>
      </c>
      <c r="D800" s="4"/>
      <c r="E800" t="s">
        <v>238</v>
      </c>
      <c r="F800" s="9" t="s">
        <v>4</v>
      </c>
      <c r="G800" s="10">
        <v>113546</v>
      </c>
    </row>
    <row r="801" spans="1:7" x14ac:dyDescent="0.35">
      <c r="A801" s="8" t="s">
        <v>1609</v>
      </c>
      <c r="B801" s="9" t="s">
        <v>1610</v>
      </c>
      <c r="C801" s="4">
        <v>43544</v>
      </c>
      <c r="D801" s="4">
        <v>43661</v>
      </c>
      <c r="E801" t="s">
        <v>815</v>
      </c>
      <c r="F801" s="9" t="s">
        <v>5</v>
      </c>
      <c r="G801" s="10">
        <v>70155</v>
      </c>
    </row>
    <row r="802" spans="1:7" x14ac:dyDescent="0.35">
      <c r="A802" s="8" t="s">
        <v>1613</v>
      </c>
      <c r="B802" s="9" t="s">
        <v>1614</v>
      </c>
      <c r="C802" s="4">
        <v>43544</v>
      </c>
      <c r="D802" s="4">
        <v>43581</v>
      </c>
      <c r="E802" t="s">
        <v>791</v>
      </c>
      <c r="F802" s="9" t="s">
        <v>5</v>
      </c>
      <c r="G802" s="10">
        <v>39726</v>
      </c>
    </row>
    <row r="803" spans="1:7" x14ac:dyDescent="0.35">
      <c r="A803" s="8" t="s">
        <v>1605</v>
      </c>
      <c r="B803" s="9" t="s">
        <v>1606</v>
      </c>
      <c r="C803" s="4">
        <v>43544</v>
      </c>
      <c r="D803" s="4">
        <v>43607</v>
      </c>
      <c r="E803" t="s">
        <v>849</v>
      </c>
      <c r="F803" s="9" t="s">
        <v>5</v>
      </c>
      <c r="G803" s="10">
        <v>1852</v>
      </c>
    </row>
    <row r="804" spans="1:7" x14ac:dyDescent="0.35">
      <c r="A804" s="8" t="s">
        <v>1607</v>
      </c>
      <c r="B804" s="9" t="s">
        <v>1608</v>
      </c>
      <c r="C804" s="4">
        <v>43544</v>
      </c>
      <c r="D804" s="4">
        <v>43628</v>
      </c>
      <c r="E804" t="s">
        <v>849</v>
      </c>
      <c r="F804" s="9" t="s">
        <v>5</v>
      </c>
      <c r="G804" s="10">
        <v>4177</v>
      </c>
    </row>
    <row r="805" spans="1:7" x14ac:dyDescent="0.35">
      <c r="A805" s="8" t="s">
        <v>1619</v>
      </c>
      <c r="B805" s="9" t="s">
        <v>1620</v>
      </c>
      <c r="C805" s="4">
        <v>43544</v>
      </c>
      <c r="D805" s="4">
        <v>43592</v>
      </c>
      <c r="E805" t="s">
        <v>1621</v>
      </c>
      <c r="F805" s="9" t="s">
        <v>5</v>
      </c>
      <c r="G805" s="10">
        <v>75648</v>
      </c>
    </row>
    <row r="806" spans="1:7" x14ac:dyDescent="0.35">
      <c r="A806" s="8" t="s">
        <v>1622</v>
      </c>
      <c r="B806" s="9" t="s">
        <v>1623</v>
      </c>
      <c r="C806" s="4">
        <v>43544</v>
      </c>
      <c r="D806" s="4">
        <v>43616</v>
      </c>
      <c r="E806" t="s">
        <v>1621</v>
      </c>
      <c r="F806" s="9" t="s">
        <v>5</v>
      </c>
      <c r="G806" s="10">
        <v>52056</v>
      </c>
    </row>
    <row r="807" spans="1:7" x14ac:dyDescent="0.35">
      <c r="A807" s="8" t="s">
        <v>1628</v>
      </c>
      <c r="B807" s="9" t="s">
        <v>1629</v>
      </c>
      <c r="C807" s="4">
        <v>43544</v>
      </c>
      <c r="D807" s="4">
        <v>43655</v>
      </c>
      <c r="E807" t="s">
        <v>783</v>
      </c>
      <c r="F807" s="9" t="s">
        <v>5</v>
      </c>
      <c r="G807" s="10">
        <v>7449</v>
      </c>
    </row>
    <row r="808" spans="1:7" x14ac:dyDescent="0.35">
      <c r="A808" s="8" t="s">
        <v>1611</v>
      </c>
      <c r="B808" s="9" t="s">
        <v>1612</v>
      </c>
      <c r="C808" s="4">
        <v>43545</v>
      </c>
      <c r="D808" s="4">
        <v>43679</v>
      </c>
      <c r="E808" t="s">
        <v>815</v>
      </c>
      <c r="F808" s="9" t="s">
        <v>5</v>
      </c>
      <c r="G808" s="10">
        <v>51185</v>
      </c>
    </row>
    <row r="809" spans="1:7" x14ac:dyDescent="0.35">
      <c r="A809" s="8" t="s">
        <v>1626</v>
      </c>
      <c r="B809" s="9" t="s">
        <v>1627</v>
      </c>
      <c r="C809" s="4">
        <v>43545</v>
      </c>
      <c r="D809" s="4">
        <v>43593</v>
      </c>
      <c r="E809" t="s">
        <v>786</v>
      </c>
      <c r="F809" s="9" t="s">
        <v>5</v>
      </c>
      <c r="G809" s="10">
        <v>7225</v>
      </c>
    </row>
    <row r="810" spans="1:7" x14ac:dyDescent="0.35">
      <c r="A810" s="8" t="s">
        <v>1615</v>
      </c>
      <c r="B810" s="9" t="s">
        <v>1616</v>
      </c>
      <c r="C810" s="4">
        <v>43545</v>
      </c>
      <c r="D810" s="4">
        <v>43572</v>
      </c>
      <c r="E810" t="s">
        <v>802</v>
      </c>
      <c r="F810" s="9" t="s">
        <v>5</v>
      </c>
      <c r="G810" s="10">
        <v>12253</v>
      </c>
    </row>
    <row r="811" spans="1:7" x14ac:dyDescent="0.35">
      <c r="A811" s="8" t="s">
        <v>1617</v>
      </c>
      <c r="B811" s="9" t="s">
        <v>1618</v>
      </c>
      <c r="C811" s="4">
        <v>43545</v>
      </c>
      <c r="D811" s="4">
        <v>43580</v>
      </c>
      <c r="E811" t="s">
        <v>810</v>
      </c>
      <c r="F811" s="9" t="s">
        <v>5</v>
      </c>
      <c r="G811" s="10">
        <v>582</v>
      </c>
    </row>
    <row r="812" spans="1:7" x14ac:dyDescent="0.35">
      <c r="A812" s="8" t="s">
        <v>1624</v>
      </c>
      <c r="B812" s="9" t="s">
        <v>1625</v>
      </c>
      <c r="C812" s="4">
        <v>43545</v>
      </c>
      <c r="D812" s="4">
        <v>43592</v>
      </c>
      <c r="E812" t="s">
        <v>799</v>
      </c>
      <c r="F812" s="9" t="s">
        <v>5</v>
      </c>
      <c r="G812" s="10">
        <v>18928</v>
      </c>
    </row>
    <row r="813" spans="1:7" x14ac:dyDescent="0.35">
      <c r="A813" s="8" t="s">
        <v>2045</v>
      </c>
      <c r="B813" s="9" t="s">
        <v>2046</v>
      </c>
      <c r="C813" s="4">
        <v>43545</v>
      </c>
      <c r="D813" s="4">
        <v>43691</v>
      </c>
      <c r="E813" t="s">
        <v>2047</v>
      </c>
      <c r="F813" s="9" t="s">
        <v>5</v>
      </c>
      <c r="G813" s="10">
        <v>3000</v>
      </c>
    </row>
    <row r="814" spans="1:7" x14ac:dyDescent="0.35">
      <c r="A814" s="8" t="s">
        <v>2048</v>
      </c>
      <c r="B814" s="9" t="s">
        <v>2049</v>
      </c>
      <c r="C814" s="4">
        <v>43545</v>
      </c>
      <c r="D814" s="4">
        <v>43691</v>
      </c>
      <c r="E814" t="s">
        <v>2047</v>
      </c>
      <c r="F814" s="9" t="s">
        <v>5</v>
      </c>
      <c r="G814" s="10">
        <v>21500</v>
      </c>
    </row>
    <row r="815" spans="1:7" x14ac:dyDescent="0.35">
      <c r="A815" s="8" t="s">
        <v>533</v>
      </c>
      <c r="B815" s="9" t="s">
        <v>534</v>
      </c>
      <c r="C815" s="4">
        <v>43545</v>
      </c>
      <c r="D815" s="4">
        <v>44095</v>
      </c>
      <c r="E815" t="s">
        <v>535</v>
      </c>
      <c r="F815" s="9" t="s">
        <v>4</v>
      </c>
      <c r="G815" s="10">
        <v>465000</v>
      </c>
    </row>
    <row r="816" spans="1:7" x14ac:dyDescent="0.35">
      <c r="A816" s="8" t="s">
        <v>536</v>
      </c>
      <c r="B816" s="9" t="s">
        <v>537</v>
      </c>
      <c r="C816" s="4">
        <v>43545</v>
      </c>
      <c r="D816" s="4">
        <v>43608</v>
      </c>
      <c r="E816" t="s">
        <v>535</v>
      </c>
      <c r="F816" s="9" t="s">
        <v>4</v>
      </c>
      <c r="G816" s="10">
        <v>750000</v>
      </c>
    </row>
    <row r="817" spans="1:7" x14ac:dyDescent="0.35">
      <c r="A817" s="8" t="s">
        <v>550</v>
      </c>
      <c r="B817" s="9" t="s">
        <v>551</v>
      </c>
      <c r="C817" s="4">
        <v>43552</v>
      </c>
      <c r="D817" s="4">
        <v>43619</v>
      </c>
      <c r="E817" t="s">
        <v>162</v>
      </c>
      <c r="F817" s="9" t="s">
        <v>4</v>
      </c>
      <c r="G817" s="10">
        <v>20000</v>
      </c>
    </row>
    <row r="818" spans="1:7" x14ac:dyDescent="0.35">
      <c r="A818" s="8" t="s">
        <v>552</v>
      </c>
      <c r="B818" s="9" t="s">
        <v>553</v>
      </c>
      <c r="C818" s="4">
        <v>43552</v>
      </c>
      <c r="D818" s="4">
        <v>43745</v>
      </c>
      <c r="E818" t="s">
        <v>554</v>
      </c>
      <c r="F818" s="9" t="s">
        <v>4</v>
      </c>
      <c r="G818" s="10">
        <v>56000</v>
      </c>
    </row>
    <row r="819" spans="1:7" x14ac:dyDescent="0.35">
      <c r="A819" s="8" t="s">
        <v>555</v>
      </c>
      <c r="B819" s="9" t="s">
        <v>556</v>
      </c>
      <c r="C819" s="4">
        <v>43552</v>
      </c>
      <c r="D819" s="4">
        <v>43745</v>
      </c>
      <c r="E819" t="s">
        <v>554</v>
      </c>
      <c r="F819" s="9" t="s">
        <v>4</v>
      </c>
      <c r="G819" s="10">
        <v>220000</v>
      </c>
    </row>
    <row r="820" spans="1:7" x14ac:dyDescent="0.35">
      <c r="A820" s="8" t="s">
        <v>2039</v>
      </c>
      <c r="B820" s="9" t="s">
        <v>2040</v>
      </c>
      <c r="C820" s="4">
        <v>43552</v>
      </c>
      <c r="D820" s="4">
        <v>43607</v>
      </c>
      <c r="E820" t="s">
        <v>1553</v>
      </c>
      <c r="F820" s="9" t="s">
        <v>5</v>
      </c>
      <c r="G820" s="10">
        <v>32300</v>
      </c>
    </row>
    <row r="821" spans="1:7" x14ac:dyDescent="0.35">
      <c r="A821" s="8" t="s">
        <v>1650</v>
      </c>
      <c r="B821" s="9" t="s">
        <v>1651</v>
      </c>
      <c r="C821" s="4">
        <v>43577</v>
      </c>
      <c r="D821" s="4">
        <v>43672</v>
      </c>
      <c r="E821" t="s">
        <v>1652</v>
      </c>
      <c r="F821" s="9" t="s">
        <v>5</v>
      </c>
      <c r="G821" s="10">
        <v>6000</v>
      </c>
    </row>
    <row r="822" spans="1:7" x14ac:dyDescent="0.35">
      <c r="A822" s="8" t="s">
        <v>2050</v>
      </c>
      <c r="B822" s="9" t="s">
        <v>2051</v>
      </c>
      <c r="C822" s="4">
        <v>43577</v>
      </c>
      <c r="D822" s="4">
        <v>43672</v>
      </c>
      <c r="E822" t="s">
        <v>1652</v>
      </c>
      <c r="F822" s="9" t="s">
        <v>5</v>
      </c>
      <c r="G822" s="10">
        <v>114000</v>
      </c>
    </row>
    <row r="823" spans="1:7" x14ac:dyDescent="0.35">
      <c r="A823" s="8" t="s">
        <v>1630</v>
      </c>
      <c r="B823" s="9" t="s">
        <v>1631</v>
      </c>
      <c r="C823" s="4">
        <v>43595</v>
      </c>
      <c r="D823" s="4">
        <v>43644</v>
      </c>
      <c r="E823" t="s">
        <v>780</v>
      </c>
      <c r="F823" s="9" t="s">
        <v>5</v>
      </c>
      <c r="G823" s="10">
        <v>892</v>
      </c>
    </row>
    <row r="824" spans="1:7" x14ac:dyDescent="0.35">
      <c r="A824" s="8" t="s">
        <v>1640</v>
      </c>
      <c r="B824" s="9" t="s">
        <v>1641</v>
      </c>
      <c r="C824" s="4">
        <v>43595</v>
      </c>
      <c r="D824" s="4">
        <v>43690</v>
      </c>
      <c r="E824" t="s">
        <v>807</v>
      </c>
      <c r="F824" s="9" t="s">
        <v>5</v>
      </c>
      <c r="G824" s="10">
        <v>5352</v>
      </c>
    </row>
    <row r="825" spans="1:7" x14ac:dyDescent="0.35">
      <c r="A825" s="8" t="s">
        <v>1634</v>
      </c>
      <c r="B825" s="9" t="s">
        <v>1635</v>
      </c>
      <c r="C825" s="4">
        <v>43606</v>
      </c>
      <c r="D825" s="4">
        <v>43644</v>
      </c>
      <c r="E825" t="s">
        <v>786</v>
      </c>
      <c r="F825" s="9" t="s">
        <v>5</v>
      </c>
      <c r="G825" s="10">
        <v>6605</v>
      </c>
    </row>
    <row r="826" spans="1:7" x14ac:dyDescent="0.35">
      <c r="A826" s="8" t="s">
        <v>1632</v>
      </c>
      <c r="B826" s="9" t="s">
        <v>1633</v>
      </c>
      <c r="C826" s="4">
        <v>43606</v>
      </c>
      <c r="D826" s="4">
        <v>43635</v>
      </c>
      <c r="E826" t="s">
        <v>810</v>
      </c>
      <c r="F826" s="9" t="s">
        <v>5</v>
      </c>
      <c r="G826" s="10">
        <v>1688</v>
      </c>
    </row>
    <row r="827" spans="1:7" x14ac:dyDescent="0.35">
      <c r="A827" s="8" t="s">
        <v>1636</v>
      </c>
      <c r="B827" s="9" t="s">
        <v>1637</v>
      </c>
      <c r="C827" s="4">
        <v>43606</v>
      </c>
      <c r="D827" s="4">
        <v>43636</v>
      </c>
      <c r="E827" t="s">
        <v>799</v>
      </c>
      <c r="F827" s="9" t="s">
        <v>5</v>
      </c>
      <c r="G827" s="10">
        <v>12088</v>
      </c>
    </row>
    <row r="828" spans="1:7" x14ac:dyDescent="0.35">
      <c r="A828" s="8" t="s">
        <v>1638</v>
      </c>
      <c r="B828" s="9" t="s">
        <v>1639</v>
      </c>
      <c r="C828" s="4">
        <v>43606</v>
      </c>
      <c r="D828" s="4">
        <v>43648</v>
      </c>
      <c r="E828" t="s">
        <v>807</v>
      </c>
      <c r="F828" s="9" t="s">
        <v>5</v>
      </c>
      <c r="G828" s="10">
        <v>5915</v>
      </c>
    </row>
    <row r="829" spans="1:7" x14ac:dyDescent="0.35">
      <c r="A829" s="8" t="s">
        <v>1653</v>
      </c>
      <c r="B829" s="9" t="s">
        <v>1654</v>
      </c>
      <c r="C829" s="4">
        <v>43613</v>
      </c>
      <c r="D829" s="4">
        <v>43665</v>
      </c>
      <c r="E829" t="s">
        <v>1655</v>
      </c>
      <c r="F829" s="9" t="s">
        <v>5</v>
      </c>
      <c r="G829" s="10">
        <v>12000</v>
      </c>
    </row>
    <row r="830" spans="1:7" x14ac:dyDescent="0.35">
      <c r="A830" s="8" t="s">
        <v>1656</v>
      </c>
      <c r="B830" s="9" t="s">
        <v>1657</v>
      </c>
      <c r="C830" s="4">
        <v>43613</v>
      </c>
      <c r="D830" s="4">
        <v>43665</v>
      </c>
      <c r="E830" t="s">
        <v>1655</v>
      </c>
      <c r="F830" s="9" t="s">
        <v>5</v>
      </c>
      <c r="G830" s="10">
        <v>238000</v>
      </c>
    </row>
    <row r="831" spans="1:7" x14ac:dyDescent="0.35">
      <c r="A831" s="8" t="s">
        <v>2054</v>
      </c>
      <c r="B831" s="9" t="s">
        <v>2055</v>
      </c>
      <c r="C831" s="4">
        <v>43613</v>
      </c>
      <c r="D831" s="4">
        <v>43745</v>
      </c>
      <c r="E831" t="s">
        <v>2056</v>
      </c>
      <c r="F831" s="9" t="s">
        <v>5</v>
      </c>
      <c r="G831" s="10">
        <v>15000</v>
      </c>
    </row>
    <row r="832" spans="1:7" x14ac:dyDescent="0.35">
      <c r="A832" s="8" t="s">
        <v>2057</v>
      </c>
      <c r="B832" s="9" t="s">
        <v>2058</v>
      </c>
      <c r="C832" s="4">
        <v>43613</v>
      </c>
      <c r="D832" s="4">
        <v>43745</v>
      </c>
      <c r="E832" t="s">
        <v>2056</v>
      </c>
      <c r="F832" s="9" t="s">
        <v>5</v>
      </c>
      <c r="G832" s="10">
        <v>50000</v>
      </c>
    </row>
    <row r="833" spans="1:7" x14ac:dyDescent="0.35">
      <c r="A833" s="8" t="s">
        <v>2052</v>
      </c>
      <c r="B833" s="9" t="s">
        <v>2053</v>
      </c>
      <c r="C833" s="4">
        <v>43613</v>
      </c>
      <c r="D833" s="4">
        <v>43735</v>
      </c>
      <c r="E833" t="s">
        <v>1289</v>
      </c>
      <c r="F833" s="9" t="s">
        <v>5</v>
      </c>
      <c r="G833" s="10">
        <v>140000</v>
      </c>
    </row>
    <row r="834" spans="1:7" x14ac:dyDescent="0.35">
      <c r="A834" s="8" t="s">
        <v>2059</v>
      </c>
      <c r="B834" s="9" t="s">
        <v>2060</v>
      </c>
      <c r="C834" s="4">
        <v>43613</v>
      </c>
      <c r="D834" s="4">
        <v>43663</v>
      </c>
      <c r="E834" t="s">
        <v>2061</v>
      </c>
      <c r="F834" s="9" t="s">
        <v>5</v>
      </c>
      <c r="G834" s="10">
        <v>5000</v>
      </c>
    </row>
    <row r="835" spans="1:7" x14ac:dyDescent="0.35">
      <c r="A835" s="8" t="s">
        <v>566</v>
      </c>
      <c r="B835" s="9" t="s">
        <v>567</v>
      </c>
      <c r="C835" s="4">
        <v>43615</v>
      </c>
      <c r="D835" s="4">
        <v>43727</v>
      </c>
      <c r="E835" t="s">
        <v>568</v>
      </c>
      <c r="F835" s="9" t="s">
        <v>4</v>
      </c>
      <c r="G835" s="10">
        <v>1050000</v>
      </c>
    </row>
    <row r="836" spans="1:7" x14ac:dyDescent="0.35">
      <c r="A836" s="8" t="s">
        <v>569</v>
      </c>
      <c r="B836" s="9" t="s">
        <v>570</v>
      </c>
      <c r="C836" s="4">
        <v>43615</v>
      </c>
      <c r="D836" s="4">
        <v>43727</v>
      </c>
      <c r="E836" t="s">
        <v>568</v>
      </c>
      <c r="F836" s="9" t="s">
        <v>4</v>
      </c>
      <c r="G836" s="10">
        <v>3000000</v>
      </c>
    </row>
    <row r="837" spans="1:7" x14ac:dyDescent="0.35">
      <c r="A837" s="8" t="s">
        <v>1642</v>
      </c>
      <c r="B837" s="9" t="s">
        <v>1643</v>
      </c>
      <c r="C837" s="4">
        <v>43630</v>
      </c>
      <c r="D837" s="4">
        <v>43691</v>
      </c>
      <c r="E837" t="s">
        <v>1621</v>
      </c>
      <c r="F837" s="9" t="s">
        <v>5</v>
      </c>
      <c r="G837" s="10">
        <v>22295</v>
      </c>
    </row>
    <row r="838" spans="1:7" x14ac:dyDescent="0.35">
      <c r="A838" s="8" t="s">
        <v>1644</v>
      </c>
      <c r="B838" s="9" t="s">
        <v>1645</v>
      </c>
      <c r="C838" s="4">
        <v>43630</v>
      </c>
      <c r="D838" s="4">
        <v>43691</v>
      </c>
      <c r="E838" t="s">
        <v>807</v>
      </c>
      <c r="F838" s="9" t="s">
        <v>5</v>
      </c>
      <c r="G838" s="10">
        <v>4801</v>
      </c>
    </row>
    <row r="839" spans="1:7" x14ac:dyDescent="0.35">
      <c r="A839" s="8" t="s">
        <v>571</v>
      </c>
      <c r="B839" s="9" t="s">
        <v>2569</v>
      </c>
      <c r="C839" s="4">
        <v>43636</v>
      </c>
      <c r="D839" s="4"/>
      <c r="E839" t="s">
        <v>572</v>
      </c>
      <c r="F839" s="9" t="s">
        <v>4</v>
      </c>
      <c r="G839" s="10">
        <v>963000</v>
      </c>
    </row>
    <row r="840" spans="1:7" x14ac:dyDescent="0.35">
      <c r="A840" s="8" t="s">
        <v>573</v>
      </c>
      <c r="B840" s="9" t="s">
        <v>2569</v>
      </c>
      <c r="C840" s="4">
        <v>43636</v>
      </c>
      <c r="D840" s="4"/>
      <c r="E840" t="s">
        <v>572</v>
      </c>
      <c r="F840" s="9" t="s">
        <v>4</v>
      </c>
      <c r="G840" s="10">
        <v>8760000</v>
      </c>
    </row>
    <row r="841" spans="1:7" x14ac:dyDescent="0.35">
      <c r="A841" s="8" t="s">
        <v>2072</v>
      </c>
      <c r="B841" s="9" t="s">
        <v>2289</v>
      </c>
      <c r="C841" s="4">
        <v>43636</v>
      </c>
      <c r="D841" s="4">
        <v>43874</v>
      </c>
      <c r="E841" t="s">
        <v>1586</v>
      </c>
      <c r="F841" s="9" t="s">
        <v>5</v>
      </c>
      <c r="G841" s="10">
        <v>22000</v>
      </c>
    </row>
    <row r="842" spans="1:7" x14ac:dyDescent="0.35">
      <c r="A842" s="8" t="s">
        <v>2069</v>
      </c>
      <c r="B842" s="9" t="s">
        <v>2569</v>
      </c>
      <c r="C842" s="4">
        <v>43636</v>
      </c>
      <c r="D842" s="4"/>
      <c r="E842" t="s">
        <v>2070</v>
      </c>
      <c r="F842" s="9" t="s">
        <v>5</v>
      </c>
      <c r="G842" s="10">
        <v>117000</v>
      </c>
    </row>
    <row r="843" spans="1:7" x14ac:dyDescent="0.35">
      <c r="A843" s="8" t="s">
        <v>2071</v>
      </c>
      <c r="B843" s="9" t="s">
        <v>2569</v>
      </c>
      <c r="C843" s="4">
        <v>43636</v>
      </c>
      <c r="D843" s="4"/>
      <c r="E843" t="s">
        <v>2070</v>
      </c>
      <c r="F843" s="9" t="s">
        <v>5</v>
      </c>
      <c r="G843" s="10">
        <v>100000</v>
      </c>
    </row>
    <row r="844" spans="1:7" x14ac:dyDescent="0.35">
      <c r="A844" s="8" t="s">
        <v>1646</v>
      </c>
      <c r="B844" s="9" t="s">
        <v>1647</v>
      </c>
      <c r="C844" s="4">
        <v>43637</v>
      </c>
      <c r="D844" s="4">
        <v>43679</v>
      </c>
      <c r="E844" t="s">
        <v>774</v>
      </c>
      <c r="F844" s="9" t="s">
        <v>5</v>
      </c>
      <c r="G844" s="10">
        <v>11825</v>
      </c>
    </row>
    <row r="845" spans="1:7" x14ac:dyDescent="0.35">
      <c r="A845" s="8" t="s">
        <v>2062</v>
      </c>
      <c r="B845" s="9" t="s">
        <v>2063</v>
      </c>
      <c r="C845" s="4">
        <v>43642</v>
      </c>
      <c r="D845" s="4">
        <v>43790</v>
      </c>
      <c r="E845" t="s">
        <v>2064</v>
      </c>
      <c r="F845" s="9" t="s">
        <v>5</v>
      </c>
      <c r="G845" s="10">
        <v>33600</v>
      </c>
    </row>
    <row r="846" spans="1:7" x14ac:dyDescent="0.35">
      <c r="A846" s="8" t="s">
        <v>2065</v>
      </c>
      <c r="B846" s="9" t="s">
        <v>2066</v>
      </c>
      <c r="C846" s="4">
        <v>43642</v>
      </c>
      <c r="D846" s="4">
        <v>43790</v>
      </c>
      <c r="E846" t="s">
        <v>2064</v>
      </c>
      <c r="F846" s="9" t="s">
        <v>5</v>
      </c>
      <c r="G846" s="10">
        <v>168275</v>
      </c>
    </row>
    <row r="847" spans="1:7" x14ac:dyDescent="0.35">
      <c r="A847" s="8" t="s">
        <v>2067</v>
      </c>
      <c r="B847" s="9" t="s">
        <v>2569</v>
      </c>
      <c r="C847" s="4">
        <v>43642</v>
      </c>
      <c r="D847" s="4"/>
      <c r="E847" t="s">
        <v>2068</v>
      </c>
      <c r="F847" s="9" t="s">
        <v>5</v>
      </c>
      <c r="G847" s="10">
        <v>162000</v>
      </c>
    </row>
    <row r="848" spans="1:7" x14ac:dyDescent="0.35">
      <c r="A848" s="8" t="s">
        <v>672</v>
      </c>
      <c r="B848" s="9" t="s">
        <v>2569</v>
      </c>
      <c r="C848" s="4">
        <v>43644</v>
      </c>
      <c r="D848" s="4"/>
      <c r="E848" t="s">
        <v>673</v>
      </c>
      <c r="F848" s="9" t="s">
        <v>4</v>
      </c>
      <c r="G848" s="10">
        <v>3550000</v>
      </c>
    </row>
    <row r="849" spans="1:7" x14ac:dyDescent="0.35">
      <c r="A849" s="8" t="s">
        <v>589</v>
      </c>
      <c r="B849" s="9" t="s">
        <v>2569</v>
      </c>
      <c r="C849" s="4">
        <v>43646</v>
      </c>
      <c r="D849" s="4"/>
      <c r="E849" t="s">
        <v>2546</v>
      </c>
      <c r="F849" s="9" t="s">
        <v>4</v>
      </c>
      <c r="G849" s="10">
        <v>13710482.220000001</v>
      </c>
    </row>
    <row r="850" spans="1:7" x14ac:dyDescent="0.35">
      <c r="A850" s="8" t="s">
        <v>674</v>
      </c>
      <c r="B850" s="9" t="s">
        <v>675</v>
      </c>
      <c r="C850" s="4">
        <v>43646</v>
      </c>
      <c r="D850" s="4">
        <v>43693</v>
      </c>
      <c r="E850" t="s">
        <v>230</v>
      </c>
      <c r="F850" s="9" t="s">
        <v>4</v>
      </c>
      <c r="G850" s="10">
        <v>15540</v>
      </c>
    </row>
    <row r="851" spans="1:7" x14ac:dyDescent="0.35">
      <c r="A851" s="8" t="s">
        <v>2205</v>
      </c>
      <c r="B851" s="9" t="s">
        <v>675</v>
      </c>
      <c r="C851" s="4">
        <v>43646</v>
      </c>
      <c r="D851" s="4">
        <v>43693</v>
      </c>
      <c r="E851" t="s">
        <v>1309</v>
      </c>
      <c r="F851" s="9" t="s">
        <v>5</v>
      </c>
      <c r="G851" s="10">
        <v>9298</v>
      </c>
    </row>
    <row r="852" spans="1:7" x14ac:dyDescent="0.35">
      <c r="A852" s="8" t="s">
        <v>2174</v>
      </c>
      <c r="B852" s="9" t="s">
        <v>2569</v>
      </c>
      <c r="C852" s="4">
        <v>43647</v>
      </c>
      <c r="D852" s="4"/>
      <c r="E852" t="s">
        <v>2175</v>
      </c>
      <c r="F852" s="9" t="s">
        <v>5</v>
      </c>
      <c r="G852" s="10">
        <v>15000</v>
      </c>
    </row>
    <row r="853" spans="1:7" x14ac:dyDescent="0.35">
      <c r="A853" s="8" t="s">
        <v>2176</v>
      </c>
      <c r="B853" s="9" t="s">
        <v>2569</v>
      </c>
      <c r="C853" s="4">
        <v>43647</v>
      </c>
      <c r="D853" s="4"/>
      <c r="E853" t="s">
        <v>2175</v>
      </c>
      <c r="F853" s="9" t="s">
        <v>5</v>
      </c>
      <c r="G853" s="10">
        <v>50000</v>
      </c>
    </row>
    <row r="854" spans="1:7" x14ac:dyDescent="0.35">
      <c r="A854" s="8" t="s">
        <v>2172</v>
      </c>
      <c r="B854" s="9" t="s">
        <v>2569</v>
      </c>
      <c r="C854" s="4">
        <v>43647</v>
      </c>
      <c r="D854" s="4"/>
      <c r="E854" t="s">
        <v>1312</v>
      </c>
      <c r="F854" s="9" t="s">
        <v>5</v>
      </c>
      <c r="G854" s="10">
        <v>10500</v>
      </c>
    </row>
    <row r="855" spans="1:7" x14ac:dyDescent="0.35">
      <c r="A855" s="8" t="s">
        <v>2173</v>
      </c>
      <c r="B855" s="9" t="s">
        <v>2569</v>
      </c>
      <c r="C855" s="4">
        <v>43647</v>
      </c>
      <c r="D855" s="4"/>
      <c r="E855" t="s">
        <v>1312</v>
      </c>
      <c r="F855" s="9" t="s">
        <v>5</v>
      </c>
      <c r="G855" s="10">
        <v>50000</v>
      </c>
    </row>
    <row r="856" spans="1:7" x14ac:dyDescent="0.35">
      <c r="A856" s="8" t="s">
        <v>2177</v>
      </c>
      <c r="B856" s="9" t="s">
        <v>2178</v>
      </c>
      <c r="C856" s="4">
        <v>43648</v>
      </c>
      <c r="D856" s="4">
        <v>43853</v>
      </c>
      <c r="E856" t="s">
        <v>2179</v>
      </c>
      <c r="F856" s="9" t="s">
        <v>5</v>
      </c>
      <c r="G856" s="10">
        <v>6000</v>
      </c>
    </row>
    <row r="857" spans="1:7" x14ac:dyDescent="0.35">
      <c r="A857" s="8" t="s">
        <v>598</v>
      </c>
      <c r="B857" s="9" t="s">
        <v>599</v>
      </c>
      <c r="C857" s="4">
        <v>43661</v>
      </c>
      <c r="D857" s="4">
        <v>43747</v>
      </c>
      <c r="E857" t="s">
        <v>184</v>
      </c>
      <c r="F857" s="9" t="s">
        <v>4</v>
      </c>
      <c r="G857" s="10">
        <v>5000000</v>
      </c>
    </row>
    <row r="858" spans="1:7" x14ac:dyDescent="0.35">
      <c r="A858" s="8" t="s">
        <v>666</v>
      </c>
      <c r="B858" s="9" t="s">
        <v>667</v>
      </c>
      <c r="C858" s="4">
        <v>43661</v>
      </c>
      <c r="D858" s="4">
        <v>44076</v>
      </c>
      <c r="E858" t="s">
        <v>668</v>
      </c>
      <c r="F858" s="9" t="s">
        <v>4</v>
      </c>
      <c r="G858" s="10">
        <v>150000</v>
      </c>
    </row>
    <row r="859" spans="1:7" x14ac:dyDescent="0.35">
      <c r="A859" s="8" t="s">
        <v>606</v>
      </c>
      <c r="B859" s="9" t="s">
        <v>607</v>
      </c>
      <c r="C859" s="4">
        <v>43661</v>
      </c>
      <c r="D859" s="4">
        <v>43796</v>
      </c>
      <c r="E859" t="s">
        <v>608</v>
      </c>
      <c r="F859" s="9" t="s">
        <v>4</v>
      </c>
      <c r="G859" s="10">
        <v>577500</v>
      </c>
    </row>
    <row r="860" spans="1:7" x14ac:dyDescent="0.35">
      <c r="A860" s="8" t="s">
        <v>609</v>
      </c>
      <c r="B860" s="9" t="s">
        <v>610</v>
      </c>
      <c r="C860" s="4">
        <v>43661</v>
      </c>
      <c r="D860" s="4">
        <v>43796</v>
      </c>
      <c r="E860" t="s">
        <v>608</v>
      </c>
      <c r="F860" s="9" t="s">
        <v>4</v>
      </c>
      <c r="G860" s="10">
        <v>4287600</v>
      </c>
    </row>
    <row r="861" spans="1:7" x14ac:dyDescent="0.35">
      <c r="A861" s="8" t="s">
        <v>759</v>
      </c>
      <c r="B861" s="9" t="s">
        <v>2569</v>
      </c>
      <c r="C861" s="4">
        <v>43661</v>
      </c>
      <c r="D861" s="4"/>
      <c r="E861" t="s">
        <v>673</v>
      </c>
      <c r="F861" s="9" t="s">
        <v>4</v>
      </c>
      <c r="G861" s="10">
        <v>2500000</v>
      </c>
    </row>
    <row r="862" spans="1:7" x14ac:dyDescent="0.35">
      <c r="A862" s="8" t="s">
        <v>600</v>
      </c>
      <c r="B862" s="9" t="s">
        <v>2569</v>
      </c>
      <c r="C862" s="4">
        <v>43661</v>
      </c>
      <c r="D862" s="4"/>
      <c r="E862" t="s">
        <v>601</v>
      </c>
      <c r="F862" s="9" t="s">
        <v>4</v>
      </c>
      <c r="G862" s="10">
        <v>40000</v>
      </c>
    </row>
    <row r="863" spans="1:7" x14ac:dyDescent="0.35">
      <c r="A863" s="8" t="s">
        <v>602</v>
      </c>
      <c r="B863" s="9" t="s">
        <v>2569</v>
      </c>
      <c r="C863" s="4">
        <v>43661</v>
      </c>
      <c r="D863" s="4"/>
      <c r="E863" t="s">
        <v>601</v>
      </c>
      <c r="F863" s="9" t="s">
        <v>4</v>
      </c>
      <c r="G863" s="10">
        <v>297270</v>
      </c>
    </row>
    <row r="864" spans="1:7" x14ac:dyDescent="0.35">
      <c r="A864" s="8" t="s">
        <v>611</v>
      </c>
      <c r="B864" s="9" t="s">
        <v>2569</v>
      </c>
      <c r="C864" s="4">
        <v>43661</v>
      </c>
      <c r="D864" s="4"/>
      <c r="E864" t="s">
        <v>612</v>
      </c>
      <c r="F864" s="9" t="s">
        <v>4</v>
      </c>
      <c r="G864" s="10">
        <v>38000</v>
      </c>
    </row>
    <row r="865" spans="1:7" x14ac:dyDescent="0.35">
      <c r="A865" s="8" t="s">
        <v>613</v>
      </c>
      <c r="B865" s="9" t="s">
        <v>2569</v>
      </c>
      <c r="C865" s="4">
        <v>43661</v>
      </c>
      <c r="D865" s="4"/>
      <c r="E865" t="s">
        <v>612</v>
      </c>
      <c r="F865" s="9" t="s">
        <v>4</v>
      </c>
      <c r="G865" s="10">
        <v>483757.17</v>
      </c>
    </row>
    <row r="866" spans="1:7" x14ac:dyDescent="0.35">
      <c r="A866" s="8" t="s">
        <v>619</v>
      </c>
      <c r="B866" s="9" t="s">
        <v>620</v>
      </c>
      <c r="C866" s="4">
        <v>43661</v>
      </c>
      <c r="D866" s="4">
        <v>43818</v>
      </c>
      <c r="E866" t="s">
        <v>621</v>
      </c>
      <c r="F866" s="9" t="s">
        <v>4</v>
      </c>
      <c r="G866" s="10">
        <v>6000000</v>
      </c>
    </row>
    <row r="867" spans="1:7" x14ac:dyDescent="0.35">
      <c r="A867" s="8" t="s">
        <v>618</v>
      </c>
      <c r="B867" s="9" t="s">
        <v>2569</v>
      </c>
      <c r="C867" s="4">
        <v>43661</v>
      </c>
      <c r="D867" s="4"/>
      <c r="E867" t="s">
        <v>2443</v>
      </c>
      <c r="F867" s="9" t="s">
        <v>4</v>
      </c>
      <c r="G867" s="10">
        <v>271000</v>
      </c>
    </row>
    <row r="868" spans="1:7" x14ac:dyDescent="0.35">
      <c r="A868" s="8" t="s">
        <v>590</v>
      </c>
      <c r="B868" s="9" t="s">
        <v>2569</v>
      </c>
      <c r="C868" s="4">
        <v>43661</v>
      </c>
      <c r="D868" s="4"/>
      <c r="E868" t="s">
        <v>591</v>
      </c>
      <c r="F868" s="9" t="s">
        <v>4</v>
      </c>
      <c r="G868" s="10">
        <v>385000</v>
      </c>
    </row>
    <row r="869" spans="1:7" x14ac:dyDescent="0.35">
      <c r="A869" s="8" t="s">
        <v>592</v>
      </c>
      <c r="B869" s="9" t="s">
        <v>2569</v>
      </c>
      <c r="C869" s="4">
        <v>43661</v>
      </c>
      <c r="D869" s="4"/>
      <c r="E869" t="s">
        <v>591</v>
      </c>
      <c r="F869" s="9" t="s">
        <v>4</v>
      </c>
      <c r="G869" s="10">
        <v>1000000</v>
      </c>
    </row>
    <row r="870" spans="1:7" x14ac:dyDescent="0.35">
      <c r="A870" s="8" t="s">
        <v>645</v>
      </c>
      <c r="B870" s="9" t="s">
        <v>646</v>
      </c>
      <c r="C870" s="4">
        <v>43661</v>
      </c>
      <c r="D870" s="4">
        <v>43717</v>
      </c>
      <c r="E870" t="s">
        <v>647</v>
      </c>
      <c r="F870" s="9" t="s">
        <v>4</v>
      </c>
      <c r="G870" s="10">
        <v>220000</v>
      </c>
    </row>
    <row r="871" spans="1:7" x14ac:dyDescent="0.35">
      <c r="A871" s="8" t="s">
        <v>648</v>
      </c>
      <c r="B871" s="9" t="s">
        <v>649</v>
      </c>
      <c r="C871" s="4">
        <v>43661</v>
      </c>
      <c r="D871" s="4">
        <v>43717</v>
      </c>
      <c r="E871" t="s">
        <v>647</v>
      </c>
      <c r="F871" s="9" t="s">
        <v>4</v>
      </c>
      <c r="G871" s="10">
        <v>900000</v>
      </c>
    </row>
    <row r="872" spans="1:7" x14ac:dyDescent="0.35">
      <c r="A872" s="8" t="s">
        <v>614</v>
      </c>
      <c r="B872" s="9" t="s">
        <v>615</v>
      </c>
      <c r="C872" s="4">
        <v>43661</v>
      </c>
      <c r="D872" s="4">
        <v>43683</v>
      </c>
      <c r="E872" t="s">
        <v>354</v>
      </c>
      <c r="F872" s="9" t="s">
        <v>4</v>
      </c>
      <c r="G872" s="10">
        <v>1750000</v>
      </c>
    </row>
    <row r="873" spans="1:7" x14ac:dyDescent="0.35">
      <c r="A873" s="8" t="s">
        <v>616</v>
      </c>
      <c r="B873" s="9" t="s">
        <v>617</v>
      </c>
      <c r="C873" s="4">
        <v>43661</v>
      </c>
      <c r="D873" s="4">
        <v>43683</v>
      </c>
      <c r="E873" t="s">
        <v>354</v>
      </c>
      <c r="F873" s="9" t="s">
        <v>4</v>
      </c>
      <c r="G873" s="10">
        <v>18300000</v>
      </c>
    </row>
    <row r="874" spans="1:7" x14ac:dyDescent="0.35">
      <c r="A874" s="8" t="s">
        <v>633</v>
      </c>
      <c r="B874" s="9" t="s">
        <v>634</v>
      </c>
      <c r="C874" s="4">
        <v>43661</v>
      </c>
      <c r="D874" s="4">
        <v>43769</v>
      </c>
      <c r="E874" s="9" t="s">
        <v>635</v>
      </c>
      <c r="F874" s="9" t="s">
        <v>4</v>
      </c>
      <c r="G874" s="10">
        <v>700000</v>
      </c>
    </row>
    <row r="875" spans="1:7" x14ac:dyDescent="0.35">
      <c r="A875" s="8" t="s">
        <v>638</v>
      </c>
      <c r="B875" s="9" t="s">
        <v>639</v>
      </c>
      <c r="C875" s="4">
        <v>43661</v>
      </c>
      <c r="D875" s="4">
        <v>43769</v>
      </c>
      <c r="E875" s="9" t="s">
        <v>635</v>
      </c>
      <c r="F875" s="9" t="s">
        <v>4</v>
      </c>
      <c r="G875" s="10">
        <v>286000</v>
      </c>
    </row>
    <row r="876" spans="1:7" x14ac:dyDescent="0.35">
      <c r="A876" s="8" t="s">
        <v>636</v>
      </c>
      <c r="B876" s="9" t="s">
        <v>637</v>
      </c>
      <c r="C876" s="4">
        <v>43661</v>
      </c>
      <c r="D876" s="4">
        <v>43769</v>
      </c>
      <c r="E876" t="s">
        <v>635</v>
      </c>
      <c r="F876" s="9" t="s">
        <v>4</v>
      </c>
      <c r="G876" s="10">
        <v>372550</v>
      </c>
    </row>
    <row r="877" spans="1:7" x14ac:dyDescent="0.35">
      <c r="A877" s="8" t="s">
        <v>657</v>
      </c>
      <c r="B877" s="9" t="s">
        <v>658</v>
      </c>
      <c r="C877" s="4">
        <v>43661</v>
      </c>
      <c r="D877" s="4">
        <v>43775</v>
      </c>
      <c r="E877" t="s">
        <v>197</v>
      </c>
      <c r="F877" s="9" t="s">
        <v>4</v>
      </c>
      <c r="G877" s="10">
        <v>262500</v>
      </c>
    </row>
    <row r="878" spans="1:7" x14ac:dyDescent="0.35">
      <c r="A878" s="8" t="s">
        <v>659</v>
      </c>
      <c r="B878" s="9" t="s">
        <v>660</v>
      </c>
      <c r="C878" s="4">
        <v>43661</v>
      </c>
      <c r="D878" s="4">
        <v>43775</v>
      </c>
      <c r="E878" t="s">
        <v>197</v>
      </c>
      <c r="F878" s="9" t="s">
        <v>4</v>
      </c>
      <c r="G878" s="10">
        <v>100000</v>
      </c>
    </row>
    <row r="879" spans="1:7" x14ac:dyDescent="0.35">
      <c r="A879" s="8" t="s">
        <v>650</v>
      </c>
      <c r="B879" s="9" t="s">
        <v>651</v>
      </c>
      <c r="C879" s="4">
        <v>43661</v>
      </c>
      <c r="D879" s="4">
        <v>43775</v>
      </c>
      <c r="E879" t="s">
        <v>652</v>
      </c>
      <c r="F879" s="9" t="s">
        <v>4</v>
      </c>
      <c r="G879" s="10">
        <v>130000</v>
      </c>
    </row>
    <row r="880" spans="1:7" x14ac:dyDescent="0.35">
      <c r="A880" s="8" t="s">
        <v>653</v>
      </c>
      <c r="B880" s="9" t="s">
        <v>654</v>
      </c>
      <c r="C880" s="4">
        <v>43661</v>
      </c>
      <c r="D880" s="4">
        <v>43775</v>
      </c>
      <c r="E880" t="s">
        <v>652</v>
      </c>
      <c r="F880" s="9" t="s">
        <v>4</v>
      </c>
      <c r="G880" s="10">
        <v>95000</v>
      </c>
    </row>
    <row r="881" spans="1:7" x14ac:dyDescent="0.35">
      <c r="A881" s="8" t="s">
        <v>655</v>
      </c>
      <c r="B881" s="9" t="s">
        <v>656</v>
      </c>
      <c r="C881" s="4">
        <v>43661</v>
      </c>
      <c r="D881" s="4">
        <v>43775</v>
      </c>
      <c r="E881" t="s">
        <v>652</v>
      </c>
      <c r="F881" s="9" t="s">
        <v>4</v>
      </c>
      <c r="G881" s="10">
        <v>80000</v>
      </c>
    </row>
    <row r="882" spans="1:7" x14ac:dyDescent="0.35">
      <c r="A882" s="8" t="s">
        <v>640</v>
      </c>
      <c r="B882" s="9" t="s">
        <v>641</v>
      </c>
      <c r="C882" s="4">
        <v>43661</v>
      </c>
      <c r="D882" s="4">
        <v>43760</v>
      </c>
      <c r="E882" t="s">
        <v>642</v>
      </c>
      <c r="F882" s="9" t="s">
        <v>4</v>
      </c>
      <c r="G882" s="10">
        <v>80000</v>
      </c>
    </row>
    <row r="883" spans="1:7" x14ac:dyDescent="0.35">
      <c r="A883" s="8" t="s">
        <v>643</v>
      </c>
      <c r="B883" s="9" t="s">
        <v>644</v>
      </c>
      <c r="C883" s="4">
        <v>43661</v>
      </c>
      <c r="D883" s="4">
        <v>43760</v>
      </c>
      <c r="E883" t="s">
        <v>642</v>
      </c>
      <c r="F883" s="9" t="s">
        <v>4</v>
      </c>
      <c r="G883" s="10">
        <v>250000</v>
      </c>
    </row>
    <row r="884" spans="1:7" x14ac:dyDescent="0.35">
      <c r="A884" s="8" t="s">
        <v>661</v>
      </c>
      <c r="B884" s="9" t="s">
        <v>662</v>
      </c>
      <c r="C884" s="4">
        <v>43661</v>
      </c>
      <c r="D884" s="4">
        <v>43784</v>
      </c>
      <c r="E884" t="s">
        <v>663</v>
      </c>
      <c r="F884" s="9" t="s">
        <v>4</v>
      </c>
      <c r="G884" s="10">
        <v>275000</v>
      </c>
    </row>
    <row r="885" spans="1:7" x14ac:dyDescent="0.35">
      <c r="A885" s="8" t="s">
        <v>664</v>
      </c>
      <c r="B885" s="9" t="s">
        <v>665</v>
      </c>
      <c r="C885" s="4">
        <v>43661</v>
      </c>
      <c r="D885" s="4">
        <v>43784</v>
      </c>
      <c r="E885" t="s">
        <v>663</v>
      </c>
      <c r="F885" s="9" t="s">
        <v>4</v>
      </c>
      <c r="G885" s="10">
        <v>200000</v>
      </c>
    </row>
    <row r="886" spans="1:7" x14ac:dyDescent="0.35">
      <c r="A886" s="8" t="s">
        <v>625</v>
      </c>
      <c r="B886" s="9" t="s">
        <v>626</v>
      </c>
      <c r="C886" s="4">
        <v>43661</v>
      </c>
      <c r="D886" s="4">
        <v>43872</v>
      </c>
      <c r="E886" t="s">
        <v>624</v>
      </c>
      <c r="F886" s="9" t="s">
        <v>4</v>
      </c>
      <c r="G886" s="10">
        <v>532800</v>
      </c>
    </row>
    <row r="887" spans="1:7" x14ac:dyDescent="0.35">
      <c r="A887" s="8" t="s">
        <v>627</v>
      </c>
      <c r="B887" s="9" t="s">
        <v>628</v>
      </c>
      <c r="C887" s="4">
        <v>43661</v>
      </c>
      <c r="D887" s="4">
        <v>43872</v>
      </c>
      <c r="E887" t="s">
        <v>624</v>
      </c>
      <c r="F887" s="9" t="s">
        <v>4</v>
      </c>
      <c r="G887" s="10">
        <v>60000</v>
      </c>
    </row>
    <row r="888" spans="1:7" x14ac:dyDescent="0.35">
      <c r="A888" s="8" t="s">
        <v>622</v>
      </c>
      <c r="B888" s="9" t="s">
        <v>623</v>
      </c>
      <c r="C888" s="4">
        <v>43661</v>
      </c>
      <c r="D888" s="4">
        <v>43872</v>
      </c>
      <c r="E888" t="s">
        <v>624</v>
      </c>
      <c r="F888" s="9" t="s">
        <v>4</v>
      </c>
      <c r="G888" s="10">
        <v>1071600</v>
      </c>
    </row>
    <row r="889" spans="1:7" x14ac:dyDescent="0.35">
      <c r="A889" s="8" t="s">
        <v>631</v>
      </c>
      <c r="B889" s="9" t="s">
        <v>632</v>
      </c>
      <c r="C889" s="4">
        <v>43661</v>
      </c>
      <c r="D889" s="4">
        <v>43872</v>
      </c>
      <c r="E889" t="s">
        <v>624</v>
      </c>
      <c r="F889" s="9" t="s">
        <v>4</v>
      </c>
      <c r="G889" s="10">
        <v>1440000</v>
      </c>
    </row>
    <row r="890" spans="1:7" x14ac:dyDescent="0.35">
      <c r="A890" s="8" t="s">
        <v>629</v>
      </c>
      <c r="B890" s="9" t="s">
        <v>630</v>
      </c>
      <c r="C890" s="4">
        <v>43661</v>
      </c>
      <c r="D890" s="4">
        <v>43872</v>
      </c>
      <c r="E890" t="s">
        <v>624</v>
      </c>
      <c r="F890" s="9" t="s">
        <v>4</v>
      </c>
      <c r="G890" s="10">
        <v>1135553.92</v>
      </c>
    </row>
    <row r="891" spans="1:7" x14ac:dyDescent="0.35">
      <c r="A891" s="8" t="s">
        <v>603</v>
      </c>
      <c r="B891" s="9" t="s">
        <v>2569</v>
      </c>
      <c r="C891" s="4">
        <v>43661</v>
      </c>
      <c r="D891" s="4"/>
      <c r="E891" t="s">
        <v>604</v>
      </c>
      <c r="F891" s="9" t="s">
        <v>4</v>
      </c>
      <c r="G891" s="10">
        <v>207500</v>
      </c>
    </row>
    <row r="892" spans="1:7" x14ac:dyDescent="0.35">
      <c r="A892" s="8" t="s">
        <v>605</v>
      </c>
      <c r="B892" s="9" t="s">
        <v>2569</v>
      </c>
      <c r="C892" s="4">
        <v>43661</v>
      </c>
      <c r="D892" s="4"/>
      <c r="E892" t="s">
        <v>604</v>
      </c>
      <c r="F892" s="9" t="s">
        <v>4</v>
      </c>
      <c r="G892" s="10">
        <v>900000</v>
      </c>
    </row>
    <row r="893" spans="1:7" x14ac:dyDescent="0.35">
      <c r="A893" s="8" t="s">
        <v>593</v>
      </c>
      <c r="B893" s="9" t="s">
        <v>594</v>
      </c>
      <c r="C893" s="4">
        <v>43661</v>
      </c>
      <c r="D893" s="4">
        <v>43745</v>
      </c>
      <c r="E893" t="s">
        <v>595</v>
      </c>
      <c r="F893" s="9" t="s">
        <v>4</v>
      </c>
      <c r="G893" s="10">
        <v>160000</v>
      </c>
    </row>
    <row r="894" spans="1:7" x14ac:dyDescent="0.35">
      <c r="A894" s="8" t="s">
        <v>596</v>
      </c>
      <c r="B894" s="9" t="s">
        <v>597</v>
      </c>
      <c r="C894" s="4">
        <v>43661</v>
      </c>
      <c r="D894" s="4">
        <v>43745</v>
      </c>
      <c r="E894" t="s">
        <v>595</v>
      </c>
      <c r="F894" s="9" t="s">
        <v>4</v>
      </c>
      <c r="G894" s="10">
        <v>300000</v>
      </c>
    </row>
    <row r="895" spans="1:7" x14ac:dyDescent="0.35">
      <c r="A895" s="8" t="s">
        <v>2198</v>
      </c>
      <c r="B895" s="9" t="s">
        <v>2199</v>
      </c>
      <c r="C895" s="4">
        <v>43663</v>
      </c>
      <c r="D895" s="4">
        <v>43902</v>
      </c>
      <c r="E895" t="s">
        <v>1420</v>
      </c>
      <c r="F895" s="9" t="s">
        <v>5</v>
      </c>
      <c r="G895" s="10">
        <v>6000</v>
      </c>
    </row>
    <row r="896" spans="1:7" x14ac:dyDescent="0.35">
      <c r="A896" s="8" t="s">
        <v>2200</v>
      </c>
      <c r="B896" s="9" t="s">
        <v>2201</v>
      </c>
      <c r="C896" s="4">
        <v>43663</v>
      </c>
      <c r="D896" s="4">
        <v>43879</v>
      </c>
      <c r="E896" t="s">
        <v>1420</v>
      </c>
      <c r="F896" s="9" t="s">
        <v>5</v>
      </c>
      <c r="G896" s="10">
        <v>24245</v>
      </c>
    </row>
    <row r="897" spans="1:7" x14ac:dyDescent="0.35">
      <c r="A897" s="8" t="s">
        <v>2183</v>
      </c>
      <c r="B897" s="9" t="s">
        <v>2184</v>
      </c>
      <c r="C897" s="4">
        <v>43665</v>
      </c>
      <c r="D897" s="4">
        <v>43775</v>
      </c>
      <c r="E897" t="s">
        <v>2185</v>
      </c>
      <c r="F897" s="9" t="s">
        <v>5</v>
      </c>
      <c r="G897" s="10">
        <v>7500</v>
      </c>
    </row>
    <row r="898" spans="1:7" x14ac:dyDescent="0.35">
      <c r="A898" s="8" t="s">
        <v>2186</v>
      </c>
      <c r="B898" s="9" t="s">
        <v>2187</v>
      </c>
      <c r="C898" s="4">
        <v>43665</v>
      </c>
      <c r="D898" s="4">
        <v>43775</v>
      </c>
      <c r="E898" t="s">
        <v>2185</v>
      </c>
      <c r="F898" s="9" t="s">
        <v>5</v>
      </c>
      <c r="G898" s="10">
        <v>20170</v>
      </c>
    </row>
    <row r="899" spans="1:7" x14ac:dyDescent="0.35">
      <c r="A899" s="8" t="s">
        <v>2188</v>
      </c>
      <c r="B899" s="9" t="s">
        <v>2569</v>
      </c>
      <c r="C899" s="4">
        <v>43665</v>
      </c>
      <c r="D899" s="4"/>
      <c r="E899" t="s">
        <v>1381</v>
      </c>
      <c r="F899" s="9" t="s">
        <v>5</v>
      </c>
      <c r="G899" s="10">
        <v>12000</v>
      </c>
    </row>
    <row r="900" spans="1:7" x14ac:dyDescent="0.35">
      <c r="A900" s="8" t="s">
        <v>2189</v>
      </c>
      <c r="B900" s="9" t="s">
        <v>2569</v>
      </c>
      <c r="C900" s="4">
        <v>43665</v>
      </c>
      <c r="D900" s="4"/>
      <c r="E900" t="s">
        <v>1381</v>
      </c>
      <c r="F900" s="9" t="s">
        <v>5</v>
      </c>
      <c r="G900" s="10">
        <v>30000</v>
      </c>
    </row>
    <row r="901" spans="1:7" x14ac:dyDescent="0.35">
      <c r="A901" s="8" t="s">
        <v>2190</v>
      </c>
      <c r="B901" s="9" t="s">
        <v>2191</v>
      </c>
      <c r="C901" s="4">
        <v>43665</v>
      </c>
      <c r="D901" s="4">
        <v>43775</v>
      </c>
      <c r="E901" t="s">
        <v>2192</v>
      </c>
      <c r="F901" s="9" t="s">
        <v>5</v>
      </c>
      <c r="G901" s="10">
        <v>30000</v>
      </c>
    </row>
    <row r="902" spans="1:7" x14ac:dyDescent="0.35">
      <c r="A902" s="8" t="s">
        <v>2193</v>
      </c>
      <c r="B902" s="9" t="s">
        <v>2194</v>
      </c>
      <c r="C902" s="4">
        <v>43665</v>
      </c>
      <c r="D902" s="4">
        <v>43775</v>
      </c>
      <c r="E902" t="s">
        <v>2192</v>
      </c>
      <c r="F902" s="9" t="s">
        <v>5</v>
      </c>
      <c r="G902" s="10">
        <v>50000</v>
      </c>
    </row>
    <row r="903" spans="1:7" x14ac:dyDescent="0.35">
      <c r="A903" s="8" t="s">
        <v>2195</v>
      </c>
      <c r="B903" s="9" t="s">
        <v>2569</v>
      </c>
      <c r="C903" s="4">
        <v>43665</v>
      </c>
      <c r="D903" s="4"/>
      <c r="E903" t="s">
        <v>2196</v>
      </c>
      <c r="F903" s="9" t="s">
        <v>5</v>
      </c>
      <c r="G903" s="10">
        <v>10000</v>
      </c>
    </row>
    <row r="904" spans="1:7" x14ac:dyDescent="0.35">
      <c r="A904" s="8" t="s">
        <v>2197</v>
      </c>
      <c r="B904" s="9" t="s">
        <v>2569</v>
      </c>
      <c r="C904" s="4">
        <v>43665</v>
      </c>
      <c r="D904" s="4"/>
      <c r="E904" t="s">
        <v>2196</v>
      </c>
      <c r="F904" s="9" t="s">
        <v>5</v>
      </c>
      <c r="G904" s="10">
        <v>50000</v>
      </c>
    </row>
    <row r="905" spans="1:7" x14ac:dyDescent="0.35">
      <c r="A905" s="8" t="s">
        <v>2180</v>
      </c>
      <c r="B905" s="9" t="s">
        <v>2569</v>
      </c>
      <c r="C905" s="4">
        <v>43665</v>
      </c>
      <c r="D905" s="4"/>
      <c r="E905" t="s">
        <v>2181</v>
      </c>
      <c r="F905" s="9" t="s">
        <v>5</v>
      </c>
      <c r="G905" s="10">
        <v>32000</v>
      </c>
    </row>
    <row r="906" spans="1:7" x14ac:dyDescent="0.35">
      <c r="A906" s="8" t="s">
        <v>2182</v>
      </c>
      <c r="B906" s="9" t="s">
        <v>2569</v>
      </c>
      <c r="C906" s="4">
        <v>43665</v>
      </c>
      <c r="D906" s="4"/>
      <c r="E906" t="s">
        <v>2181</v>
      </c>
      <c r="F906" s="9" t="s">
        <v>5</v>
      </c>
      <c r="G906" s="10">
        <v>50000</v>
      </c>
    </row>
    <row r="907" spans="1:7" x14ac:dyDescent="0.35">
      <c r="A907" s="8" t="s">
        <v>19</v>
      </c>
      <c r="B907" s="9" t="s">
        <v>58</v>
      </c>
      <c r="C907" s="4">
        <v>43675</v>
      </c>
      <c r="D907" s="4">
        <v>43766</v>
      </c>
      <c r="E907" t="s">
        <v>59</v>
      </c>
      <c r="F907" s="9" t="s">
        <v>5</v>
      </c>
      <c r="G907" s="10">
        <v>2000</v>
      </c>
    </row>
    <row r="908" spans="1:7" x14ac:dyDescent="0.35">
      <c r="A908" s="8" t="s">
        <v>115</v>
      </c>
      <c r="B908" s="9" t="s">
        <v>128</v>
      </c>
      <c r="C908" s="4">
        <v>43675</v>
      </c>
      <c r="D908" s="4">
        <v>43896</v>
      </c>
      <c r="E908" t="s">
        <v>129</v>
      </c>
      <c r="F908" s="9" t="s">
        <v>5</v>
      </c>
      <c r="G908" s="10">
        <v>683.49</v>
      </c>
    </row>
    <row r="909" spans="1:7" x14ac:dyDescent="0.35">
      <c r="A909" s="8" t="s">
        <v>130</v>
      </c>
      <c r="B909" s="9" t="s">
        <v>137</v>
      </c>
      <c r="C909" s="4">
        <v>43675</v>
      </c>
      <c r="D909" s="4">
        <v>43888</v>
      </c>
      <c r="E909" t="s">
        <v>138</v>
      </c>
      <c r="F909" s="9" t="s">
        <v>5</v>
      </c>
      <c r="G909" s="10">
        <v>2000</v>
      </c>
    </row>
    <row r="910" spans="1:7" x14ac:dyDescent="0.35">
      <c r="A910" s="8" t="s">
        <v>19</v>
      </c>
      <c r="B910" s="9" t="s">
        <v>112</v>
      </c>
      <c r="C910" s="4">
        <v>43675</v>
      </c>
      <c r="D910" s="4">
        <v>43896</v>
      </c>
      <c r="E910" t="s">
        <v>113</v>
      </c>
      <c r="F910" s="9" t="s">
        <v>5</v>
      </c>
      <c r="G910" s="10">
        <v>5270</v>
      </c>
    </row>
    <row r="911" spans="1:7" x14ac:dyDescent="0.35">
      <c r="A911" s="8" t="s">
        <v>19</v>
      </c>
      <c r="B911" s="9" t="s">
        <v>36</v>
      </c>
      <c r="C911" s="4">
        <v>43675</v>
      </c>
      <c r="D911" s="4">
        <v>43706</v>
      </c>
      <c r="E911" t="s">
        <v>37</v>
      </c>
      <c r="F911" s="9" t="s">
        <v>5</v>
      </c>
      <c r="G911" s="10">
        <v>1260</v>
      </c>
    </row>
    <row r="912" spans="1:7" x14ac:dyDescent="0.35">
      <c r="A912" s="8" t="s">
        <v>19</v>
      </c>
      <c r="B912" s="9" t="s">
        <v>24</v>
      </c>
      <c r="C912" s="4">
        <v>43675</v>
      </c>
      <c r="D912" s="4">
        <v>43706</v>
      </c>
      <c r="E912" t="s">
        <v>25</v>
      </c>
      <c r="F912" s="9" t="s">
        <v>5</v>
      </c>
      <c r="G912" s="10">
        <v>1260</v>
      </c>
    </row>
    <row r="913" spans="1:7" x14ac:dyDescent="0.35">
      <c r="A913" s="8" t="s">
        <v>19</v>
      </c>
      <c r="B913" s="9" t="s">
        <v>108</v>
      </c>
      <c r="C913" s="4">
        <v>43675</v>
      </c>
      <c r="D913" s="4">
        <v>43892</v>
      </c>
      <c r="E913" t="s">
        <v>25</v>
      </c>
      <c r="F913" s="9" t="s">
        <v>5</v>
      </c>
      <c r="G913" s="10">
        <v>1260</v>
      </c>
    </row>
    <row r="914" spans="1:7" x14ac:dyDescent="0.35">
      <c r="A914" s="8" t="s">
        <v>19</v>
      </c>
      <c r="B914" s="9" t="s">
        <v>114</v>
      </c>
      <c r="C914" s="4">
        <v>43675</v>
      </c>
      <c r="D914" s="4">
        <v>43899</v>
      </c>
      <c r="E914" t="s">
        <v>25</v>
      </c>
      <c r="F914" s="9" t="s">
        <v>5</v>
      </c>
      <c r="G914" s="10">
        <v>2115</v>
      </c>
    </row>
    <row r="915" spans="1:7" x14ac:dyDescent="0.35">
      <c r="A915" s="8" t="s">
        <v>19</v>
      </c>
      <c r="B915" s="9" t="s">
        <v>30</v>
      </c>
      <c r="C915" s="4">
        <v>43675</v>
      </c>
      <c r="D915" s="4">
        <v>43706</v>
      </c>
      <c r="E915" t="s">
        <v>31</v>
      </c>
      <c r="F915" s="9" t="s">
        <v>5</v>
      </c>
      <c r="G915" s="10">
        <v>1260</v>
      </c>
    </row>
    <row r="916" spans="1:7" x14ac:dyDescent="0.35">
      <c r="A916" s="8" t="s">
        <v>19</v>
      </c>
      <c r="B916" s="9" t="s">
        <v>101</v>
      </c>
      <c r="C916" s="4">
        <v>43675</v>
      </c>
      <c r="D916" s="4">
        <v>43892</v>
      </c>
      <c r="E916" t="s">
        <v>31</v>
      </c>
      <c r="F916" s="9" t="s">
        <v>5</v>
      </c>
      <c r="G916" s="10">
        <v>1260</v>
      </c>
    </row>
    <row r="917" spans="1:7" x14ac:dyDescent="0.35">
      <c r="A917" s="8" t="s">
        <v>19</v>
      </c>
      <c r="B917" s="9" t="s">
        <v>88</v>
      </c>
      <c r="C917" s="4">
        <v>43675</v>
      </c>
      <c r="D917" s="4">
        <v>43818</v>
      </c>
      <c r="E917" t="s">
        <v>89</v>
      </c>
      <c r="F917" s="9" t="s">
        <v>5</v>
      </c>
      <c r="G917" s="10">
        <v>1075</v>
      </c>
    </row>
    <row r="918" spans="1:7" x14ac:dyDescent="0.35">
      <c r="A918" s="8" t="s">
        <v>19</v>
      </c>
      <c r="B918" s="9" t="s">
        <v>20</v>
      </c>
      <c r="C918" s="4">
        <v>43675</v>
      </c>
      <c r="D918" s="4">
        <v>43700</v>
      </c>
      <c r="E918" t="s">
        <v>21</v>
      </c>
      <c r="F918" s="9" t="s">
        <v>5</v>
      </c>
      <c r="G918" s="10">
        <v>3280</v>
      </c>
    </row>
    <row r="919" spans="1:7" x14ac:dyDescent="0.35">
      <c r="A919" s="8" t="s">
        <v>19</v>
      </c>
      <c r="B919" s="9" t="s">
        <v>67</v>
      </c>
      <c r="C919" s="4">
        <v>43675</v>
      </c>
      <c r="D919" s="4">
        <v>43796</v>
      </c>
      <c r="E919" t="s">
        <v>68</v>
      </c>
      <c r="F919" s="9" t="s">
        <v>5</v>
      </c>
      <c r="G919" s="10">
        <v>2750</v>
      </c>
    </row>
    <row r="920" spans="1:7" x14ac:dyDescent="0.35">
      <c r="A920" s="8" t="s">
        <v>19</v>
      </c>
      <c r="B920" s="9" t="s">
        <v>60</v>
      </c>
      <c r="C920" s="4">
        <v>43675</v>
      </c>
      <c r="D920" s="4">
        <v>43776</v>
      </c>
      <c r="E920" t="s">
        <v>61</v>
      </c>
      <c r="F920" s="9" t="s">
        <v>5</v>
      </c>
      <c r="G920" s="10">
        <v>3300</v>
      </c>
    </row>
    <row r="921" spans="1:7" x14ac:dyDescent="0.35">
      <c r="A921" s="8" t="s">
        <v>115</v>
      </c>
      <c r="B921" s="9" t="s">
        <v>120</v>
      </c>
      <c r="C921" s="4">
        <v>43675</v>
      </c>
      <c r="D921" s="4">
        <v>43805</v>
      </c>
      <c r="E921" t="s">
        <v>121</v>
      </c>
      <c r="F921" s="9" t="s">
        <v>5</v>
      </c>
      <c r="G921" s="10">
        <v>986.92</v>
      </c>
    </row>
    <row r="922" spans="1:7" x14ac:dyDescent="0.35">
      <c r="A922" s="8" t="s">
        <v>19</v>
      </c>
      <c r="B922" s="9" t="s">
        <v>84</v>
      </c>
      <c r="C922" s="4">
        <v>43675</v>
      </c>
      <c r="D922" s="4">
        <v>43812</v>
      </c>
      <c r="E922" t="s">
        <v>85</v>
      </c>
      <c r="F922" s="9" t="s">
        <v>5</v>
      </c>
      <c r="G922" s="10">
        <v>100</v>
      </c>
    </row>
    <row r="923" spans="1:7" x14ac:dyDescent="0.35">
      <c r="A923" s="8" t="s">
        <v>19</v>
      </c>
      <c r="B923" s="9" t="s">
        <v>95</v>
      </c>
      <c r="C923" s="4">
        <v>43675</v>
      </c>
      <c r="D923" s="4">
        <v>43851</v>
      </c>
      <c r="E923" t="s">
        <v>96</v>
      </c>
      <c r="F923" s="9" t="s">
        <v>5</v>
      </c>
      <c r="G923" s="10">
        <v>2500</v>
      </c>
    </row>
    <row r="924" spans="1:7" x14ac:dyDescent="0.35">
      <c r="A924" s="8" t="s">
        <v>19</v>
      </c>
      <c r="B924" s="9" t="s">
        <v>78</v>
      </c>
      <c r="C924" s="4">
        <v>43675</v>
      </c>
      <c r="D924" s="4">
        <v>43805</v>
      </c>
      <c r="E924" t="s">
        <v>79</v>
      </c>
      <c r="F924" s="9" t="s">
        <v>5</v>
      </c>
      <c r="G924" s="10">
        <v>100</v>
      </c>
    </row>
    <row r="925" spans="1:7" x14ac:dyDescent="0.35">
      <c r="A925" s="8" t="s">
        <v>19</v>
      </c>
      <c r="B925" s="9" t="s">
        <v>105</v>
      </c>
      <c r="C925" s="4">
        <v>43675</v>
      </c>
      <c r="D925" s="4">
        <v>43892</v>
      </c>
      <c r="E925" t="s">
        <v>106</v>
      </c>
      <c r="F925" s="9" t="s">
        <v>5</v>
      </c>
      <c r="G925" s="10">
        <v>1260</v>
      </c>
    </row>
    <row r="926" spans="1:7" x14ac:dyDescent="0.35">
      <c r="A926" s="8" t="s">
        <v>669</v>
      </c>
      <c r="B926" s="9" t="s">
        <v>670</v>
      </c>
      <c r="C926" s="4">
        <v>43675</v>
      </c>
      <c r="D926" s="4">
        <v>43707</v>
      </c>
      <c r="E926" t="s">
        <v>671</v>
      </c>
      <c r="F926" s="9" t="s">
        <v>4</v>
      </c>
      <c r="G926" s="10">
        <v>1452000</v>
      </c>
    </row>
    <row r="927" spans="1:7" x14ac:dyDescent="0.35">
      <c r="A927" s="8" t="s">
        <v>115</v>
      </c>
      <c r="B927" s="9" t="s">
        <v>116</v>
      </c>
      <c r="C927" s="4">
        <v>43675</v>
      </c>
      <c r="D927" s="4">
        <v>43727</v>
      </c>
      <c r="E927" t="s">
        <v>117</v>
      </c>
      <c r="F927" s="9" t="s">
        <v>5</v>
      </c>
      <c r="G927" s="10">
        <v>807.76</v>
      </c>
    </row>
    <row r="928" spans="1:7" x14ac:dyDescent="0.35">
      <c r="A928" s="8" t="s">
        <v>19</v>
      </c>
      <c r="B928" s="9" t="s">
        <v>48</v>
      </c>
      <c r="C928" s="4">
        <v>43675</v>
      </c>
      <c r="D928" s="4">
        <v>43749</v>
      </c>
      <c r="E928" t="s">
        <v>49</v>
      </c>
      <c r="F928" s="9" t="s">
        <v>5</v>
      </c>
      <c r="G928" s="10">
        <v>1250</v>
      </c>
    </row>
    <row r="929" spans="1:7" x14ac:dyDescent="0.35">
      <c r="A929" s="8" t="s">
        <v>19</v>
      </c>
      <c r="B929" s="9" t="s">
        <v>82</v>
      </c>
      <c r="C929" s="4">
        <v>43675</v>
      </c>
      <c r="D929" s="4">
        <v>43811</v>
      </c>
      <c r="E929" t="s">
        <v>49</v>
      </c>
      <c r="F929" s="9" t="s">
        <v>5</v>
      </c>
      <c r="G929" s="10">
        <v>6915</v>
      </c>
    </row>
    <row r="930" spans="1:7" x14ac:dyDescent="0.35">
      <c r="A930" s="8" t="s">
        <v>19</v>
      </c>
      <c r="B930" s="9" t="s">
        <v>83</v>
      </c>
      <c r="C930" s="4">
        <v>43675</v>
      </c>
      <c r="D930" s="4">
        <v>43811</v>
      </c>
      <c r="E930" t="s">
        <v>49</v>
      </c>
      <c r="F930" s="9" t="s">
        <v>5</v>
      </c>
      <c r="G930" s="10">
        <v>1290</v>
      </c>
    </row>
    <row r="931" spans="1:7" x14ac:dyDescent="0.35">
      <c r="A931" s="8" t="s">
        <v>19</v>
      </c>
      <c r="B931" s="9" t="s">
        <v>34</v>
      </c>
      <c r="C931" s="4">
        <v>43675</v>
      </c>
      <c r="D931" s="4">
        <v>43706</v>
      </c>
      <c r="E931" t="s">
        <v>35</v>
      </c>
      <c r="F931" s="9" t="s">
        <v>5</v>
      </c>
      <c r="G931" s="10">
        <v>1080</v>
      </c>
    </row>
    <row r="932" spans="1:7" x14ac:dyDescent="0.35">
      <c r="A932" s="8" t="s">
        <v>139</v>
      </c>
      <c r="B932" s="9" t="s">
        <v>140</v>
      </c>
      <c r="C932" s="4">
        <v>43675</v>
      </c>
      <c r="D932" s="4">
        <v>43761</v>
      </c>
      <c r="E932" t="s">
        <v>141</v>
      </c>
      <c r="F932" s="9" t="s">
        <v>5</v>
      </c>
      <c r="G932" s="10">
        <v>40000</v>
      </c>
    </row>
    <row r="933" spans="1:7" x14ac:dyDescent="0.35">
      <c r="A933" s="8" t="s">
        <v>19</v>
      </c>
      <c r="B933" s="9" t="s">
        <v>65</v>
      </c>
      <c r="C933" s="4">
        <v>43675</v>
      </c>
      <c r="D933" s="4">
        <v>43795</v>
      </c>
      <c r="E933" t="s">
        <v>66</v>
      </c>
      <c r="F933" s="9" t="s">
        <v>5</v>
      </c>
      <c r="G933" s="10">
        <v>100</v>
      </c>
    </row>
    <row r="934" spans="1:7" x14ac:dyDescent="0.35">
      <c r="A934" s="8" t="s">
        <v>148</v>
      </c>
      <c r="B934" s="9" t="s">
        <v>153</v>
      </c>
      <c r="C934" s="4">
        <v>43675</v>
      </c>
      <c r="D934" s="4">
        <v>43885</v>
      </c>
      <c r="E934" t="s">
        <v>154</v>
      </c>
      <c r="F934" s="9" t="s">
        <v>5</v>
      </c>
      <c r="G934" s="10">
        <v>50000</v>
      </c>
    </row>
    <row r="935" spans="1:7" x14ac:dyDescent="0.35">
      <c r="A935" s="8" t="s">
        <v>130</v>
      </c>
      <c r="B935" s="9" t="s">
        <v>131</v>
      </c>
      <c r="C935" s="4">
        <v>43675</v>
      </c>
      <c r="D935" s="4">
        <v>43791</v>
      </c>
      <c r="E935" t="s">
        <v>132</v>
      </c>
      <c r="F935" s="9" t="s">
        <v>5</v>
      </c>
      <c r="G935" s="10">
        <v>2000</v>
      </c>
    </row>
    <row r="936" spans="1:7" x14ac:dyDescent="0.35">
      <c r="A936" s="8" t="s">
        <v>19</v>
      </c>
      <c r="B936" s="9" t="s">
        <v>54</v>
      </c>
      <c r="C936" s="4">
        <v>43675</v>
      </c>
      <c r="D936" s="4">
        <v>43759</v>
      </c>
      <c r="E936" t="s">
        <v>55</v>
      </c>
      <c r="F936" s="9" t="s">
        <v>5</v>
      </c>
      <c r="G936" s="10">
        <v>1180</v>
      </c>
    </row>
    <row r="937" spans="1:7" x14ac:dyDescent="0.35">
      <c r="A937" s="8" t="s">
        <v>19</v>
      </c>
      <c r="B937" s="9" t="s">
        <v>62</v>
      </c>
      <c r="C937" s="4">
        <v>43675</v>
      </c>
      <c r="D937" s="4">
        <v>43782</v>
      </c>
      <c r="E937" t="s">
        <v>55</v>
      </c>
      <c r="F937" s="9" t="s">
        <v>5</v>
      </c>
      <c r="G937" s="10">
        <v>5100</v>
      </c>
    </row>
    <row r="938" spans="1:7" x14ac:dyDescent="0.35">
      <c r="A938" s="8" t="s">
        <v>19</v>
      </c>
      <c r="B938" s="9" t="s">
        <v>40</v>
      </c>
      <c r="C938" s="4">
        <v>43675</v>
      </c>
      <c r="D938" s="4">
        <v>43706</v>
      </c>
      <c r="E938" t="s">
        <v>41</v>
      </c>
      <c r="F938" s="9" t="s">
        <v>5</v>
      </c>
      <c r="G938" s="10">
        <v>1080</v>
      </c>
    </row>
    <row r="939" spans="1:7" x14ac:dyDescent="0.35">
      <c r="A939" s="8" t="s">
        <v>139</v>
      </c>
      <c r="B939" s="9" t="s">
        <v>142</v>
      </c>
      <c r="C939" s="4">
        <v>43675</v>
      </c>
      <c r="D939" s="4">
        <v>43796</v>
      </c>
      <c r="E939" t="s">
        <v>143</v>
      </c>
      <c r="F939" s="9" t="s">
        <v>5</v>
      </c>
      <c r="G939" s="10">
        <v>40000</v>
      </c>
    </row>
    <row r="940" spans="1:7" x14ac:dyDescent="0.35">
      <c r="A940" s="8" t="s">
        <v>19</v>
      </c>
      <c r="B940" s="9" t="s">
        <v>69</v>
      </c>
      <c r="C940" s="4">
        <v>43675</v>
      </c>
      <c r="D940" s="4">
        <v>43801</v>
      </c>
      <c r="E940" t="s">
        <v>70</v>
      </c>
      <c r="F940" s="9" t="s">
        <v>5</v>
      </c>
      <c r="G940" s="10">
        <v>3195.5</v>
      </c>
    </row>
    <row r="941" spans="1:7" x14ac:dyDescent="0.35">
      <c r="A941" s="8" t="s">
        <v>19</v>
      </c>
      <c r="B941" s="9" t="s">
        <v>71</v>
      </c>
      <c r="C941" s="4">
        <v>43675</v>
      </c>
      <c r="D941" s="4">
        <v>43801</v>
      </c>
      <c r="E941" t="s">
        <v>70</v>
      </c>
      <c r="F941" s="9" t="s">
        <v>5</v>
      </c>
      <c r="G941" s="10">
        <v>4945</v>
      </c>
    </row>
    <row r="942" spans="1:7" x14ac:dyDescent="0.35">
      <c r="A942" s="8" t="s">
        <v>19</v>
      </c>
      <c r="B942" s="9" t="s">
        <v>42</v>
      </c>
      <c r="C942" s="4">
        <v>43675</v>
      </c>
      <c r="D942" s="4">
        <v>43706</v>
      </c>
      <c r="E942" t="s">
        <v>43</v>
      </c>
      <c r="F942" s="9" t="s">
        <v>5</v>
      </c>
      <c r="G942" s="10">
        <v>1260</v>
      </c>
    </row>
    <row r="943" spans="1:7" x14ac:dyDescent="0.35">
      <c r="A943" s="8" t="s">
        <v>19</v>
      </c>
      <c r="B943" s="9" t="s">
        <v>109</v>
      </c>
      <c r="C943" s="4">
        <v>43675</v>
      </c>
      <c r="D943" s="4">
        <v>43892</v>
      </c>
      <c r="E943" t="s">
        <v>43</v>
      </c>
      <c r="F943" s="9" t="s">
        <v>5</v>
      </c>
      <c r="G943" s="10">
        <v>1260</v>
      </c>
    </row>
    <row r="944" spans="1:7" x14ac:dyDescent="0.35">
      <c r="A944" s="8" t="s">
        <v>19</v>
      </c>
      <c r="B944" s="9" t="s">
        <v>28</v>
      </c>
      <c r="C944" s="4">
        <v>43675</v>
      </c>
      <c r="D944" s="4">
        <v>43706</v>
      </c>
      <c r="E944" t="s">
        <v>29</v>
      </c>
      <c r="F944" s="9" t="s">
        <v>5</v>
      </c>
      <c r="G944" s="10">
        <v>1080</v>
      </c>
    </row>
    <row r="945" spans="1:7" x14ac:dyDescent="0.35">
      <c r="A945" s="8" t="s">
        <v>19</v>
      </c>
      <c r="B945" s="9" t="s">
        <v>102</v>
      </c>
      <c r="C945" s="4">
        <v>43675</v>
      </c>
      <c r="D945" s="4">
        <v>43892</v>
      </c>
      <c r="E945" t="s">
        <v>29</v>
      </c>
      <c r="F945" s="9" t="s">
        <v>5</v>
      </c>
      <c r="G945" s="10">
        <v>1080</v>
      </c>
    </row>
    <row r="946" spans="1:7" x14ac:dyDescent="0.35">
      <c r="A946" s="8" t="s">
        <v>19</v>
      </c>
      <c r="B946" s="9" t="s">
        <v>86</v>
      </c>
      <c r="C946" s="4">
        <v>43675</v>
      </c>
      <c r="D946" s="4">
        <v>43812</v>
      </c>
      <c r="E946" t="s">
        <v>87</v>
      </c>
      <c r="F946" s="9" t="s">
        <v>5</v>
      </c>
      <c r="G946" s="10">
        <v>100</v>
      </c>
    </row>
    <row r="947" spans="1:7" x14ac:dyDescent="0.35">
      <c r="A947" s="8" t="s">
        <v>19</v>
      </c>
      <c r="B947" s="9" t="s">
        <v>93</v>
      </c>
      <c r="C947" s="4">
        <v>43675</v>
      </c>
      <c r="D947" s="4">
        <v>43850</v>
      </c>
      <c r="E947" t="s">
        <v>87</v>
      </c>
      <c r="F947" s="9" t="s">
        <v>5</v>
      </c>
      <c r="G947" s="10">
        <v>1260</v>
      </c>
    </row>
    <row r="948" spans="1:7" x14ac:dyDescent="0.35">
      <c r="A948" s="8" t="s">
        <v>115</v>
      </c>
      <c r="B948" s="9" t="s">
        <v>118</v>
      </c>
      <c r="C948" s="4">
        <v>43675</v>
      </c>
      <c r="D948" s="4">
        <v>43801</v>
      </c>
      <c r="E948" t="s">
        <v>119</v>
      </c>
      <c r="F948" s="9" t="s">
        <v>5</v>
      </c>
      <c r="G948" s="10">
        <v>938.78</v>
      </c>
    </row>
    <row r="949" spans="1:7" x14ac:dyDescent="0.35">
      <c r="A949" s="8" t="s">
        <v>115</v>
      </c>
      <c r="B949" s="9" t="s">
        <v>126</v>
      </c>
      <c r="C949" s="4">
        <v>43675</v>
      </c>
      <c r="D949" s="4">
        <v>43860</v>
      </c>
      <c r="E949" t="s">
        <v>127</v>
      </c>
      <c r="F949" s="9" t="s">
        <v>5</v>
      </c>
      <c r="G949" s="10">
        <v>720</v>
      </c>
    </row>
    <row r="950" spans="1:7" x14ac:dyDescent="0.35">
      <c r="A950" s="8" t="s">
        <v>19</v>
      </c>
      <c r="B950" s="9" t="s">
        <v>63</v>
      </c>
      <c r="C950" s="4">
        <v>43675</v>
      </c>
      <c r="D950" s="4">
        <v>43782</v>
      </c>
      <c r="E950" t="s">
        <v>64</v>
      </c>
      <c r="F950" s="9" t="s">
        <v>5</v>
      </c>
      <c r="G950" s="10">
        <v>6630</v>
      </c>
    </row>
    <row r="951" spans="1:7" x14ac:dyDescent="0.35">
      <c r="A951" s="8" t="s">
        <v>19</v>
      </c>
      <c r="B951" s="9" t="s">
        <v>97</v>
      </c>
      <c r="C951" s="4">
        <v>43675</v>
      </c>
      <c r="D951" s="4">
        <v>43882</v>
      </c>
      <c r="E951" t="s">
        <v>64</v>
      </c>
      <c r="F951" s="9" t="s">
        <v>5</v>
      </c>
      <c r="G951" s="10">
        <v>6206.25</v>
      </c>
    </row>
    <row r="952" spans="1:7" x14ac:dyDescent="0.35">
      <c r="A952" s="8" t="s">
        <v>19</v>
      </c>
      <c r="B952" s="9" t="s">
        <v>90</v>
      </c>
      <c r="C952" s="4">
        <v>43675</v>
      </c>
      <c r="D952" s="4">
        <v>43818</v>
      </c>
      <c r="E952" t="s">
        <v>91</v>
      </c>
      <c r="F952" s="9" t="s">
        <v>5</v>
      </c>
      <c r="G952" s="10">
        <v>300</v>
      </c>
    </row>
    <row r="953" spans="1:7" x14ac:dyDescent="0.35">
      <c r="A953" s="8" t="s">
        <v>19</v>
      </c>
      <c r="B953" s="9" t="s">
        <v>56</v>
      </c>
      <c r="C953" s="4">
        <v>43675</v>
      </c>
      <c r="D953" s="4">
        <v>43760</v>
      </c>
      <c r="E953" t="s">
        <v>57</v>
      </c>
      <c r="F953" s="9" t="s">
        <v>5</v>
      </c>
      <c r="G953" s="10">
        <v>1300</v>
      </c>
    </row>
    <row r="954" spans="1:7" x14ac:dyDescent="0.35">
      <c r="A954" s="8" t="s">
        <v>19</v>
      </c>
      <c r="B954" s="9" t="s">
        <v>98</v>
      </c>
      <c r="C954" s="4">
        <v>43675</v>
      </c>
      <c r="D954" s="4">
        <v>43889</v>
      </c>
      <c r="E954" t="s">
        <v>99</v>
      </c>
      <c r="F954" s="9" t="s">
        <v>5</v>
      </c>
      <c r="G954" s="10">
        <v>2230</v>
      </c>
    </row>
    <row r="955" spans="1:7" x14ac:dyDescent="0.35">
      <c r="A955" s="8" t="s">
        <v>19</v>
      </c>
      <c r="B955" s="9" t="s">
        <v>44</v>
      </c>
      <c r="C955" s="4">
        <v>43675</v>
      </c>
      <c r="D955" s="4">
        <v>43724</v>
      </c>
      <c r="E955" t="s">
        <v>45</v>
      </c>
      <c r="F955" s="9" t="s">
        <v>5</v>
      </c>
      <c r="G955" s="10">
        <v>1500</v>
      </c>
    </row>
    <row r="956" spans="1:7" x14ac:dyDescent="0.35">
      <c r="A956" s="8" t="s">
        <v>19</v>
      </c>
      <c r="B956" s="9" t="s">
        <v>74</v>
      </c>
      <c r="C956" s="4">
        <v>43675</v>
      </c>
      <c r="D956" s="4">
        <v>43805</v>
      </c>
      <c r="E956" t="s">
        <v>75</v>
      </c>
      <c r="F956" s="9" t="s">
        <v>5</v>
      </c>
      <c r="G956" s="10">
        <v>100</v>
      </c>
    </row>
    <row r="957" spans="1:7" x14ac:dyDescent="0.35">
      <c r="A957" s="8" t="s">
        <v>19</v>
      </c>
      <c r="B957" s="9" t="s">
        <v>94</v>
      </c>
      <c r="C957" s="4">
        <v>43675</v>
      </c>
      <c r="D957" s="4">
        <v>43850</v>
      </c>
      <c r="E957" t="s">
        <v>75</v>
      </c>
      <c r="F957" s="9" t="s">
        <v>5</v>
      </c>
      <c r="G957" s="10">
        <v>1260</v>
      </c>
    </row>
    <row r="958" spans="1:7" x14ac:dyDescent="0.35">
      <c r="A958" s="8" t="s">
        <v>19</v>
      </c>
      <c r="B958" s="9" t="s">
        <v>72</v>
      </c>
      <c r="C958" s="4">
        <v>43675</v>
      </c>
      <c r="D958" s="4">
        <v>43805</v>
      </c>
      <c r="E958" t="s">
        <v>73</v>
      </c>
      <c r="F958" s="9" t="s">
        <v>5</v>
      </c>
      <c r="G958" s="10">
        <v>100</v>
      </c>
    </row>
    <row r="959" spans="1:7" x14ac:dyDescent="0.35">
      <c r="A959" s="8" t="s">
        <v>139</v>
      </c>
      <c r="B959" s="9" t="s">
        <v>146</v>
      </c>
      <c r="C959" s="4">
        <v>43675</v>
      </c>
      <c r="D959" s="4">
        <v>43858</v>
      </c>
      <c r="E959" t="s">
        <v>147</v>
      </c>
      <c r="F959" s="9" t="s">
        <v>5</v>
      </c>
      <c r="G959" s="10">
        <v>10000</v>
      </c>
    </row>
    <row r="960" spans="1:7" x14ac:dyDescent="0.35">
      <c r="A960" s="8" t="s">
        <v>19</v>
      </c>
      <c r="B960" s="9" t="s">
        <v>80</v>
      </c>
      <c r="C960" s="4">
        <v>43675</v>
      </c>
      <c r="D960" s="4">
        <v>43805</v>
      </c>
      <c r="E960" t="s">
        <v>81</v>
      </c>
      <c r="F960" s="9" t="s">
        <v>5</v>
      </c>
      <c r="G960" s="10">
        <v>100</v>
      </c>
    </row>
    <row r="961" spans="1:7" x14ac:dyDescent="0.35">
      <c r="A961" s="8" t="s">
        <v>115</v>
      </c>
      <c r="B961" s="9" t="s">
        <v>124</v>
      </c>
      <c r="C961" s="4">
        <v>43675</v>
      </c>
      <c r="D961" s="4">
        <v>43812</v>
      </c>
      <c r="E961" t="s">
        <v>125</v>
      </c>
      <c r="F961" s="9" t="s">
        <v>5</v>
      </c>
      <c r="G961" s="10">
        <v>998</v>
      </c>
    </row>
    <row r="962" spans="1:7" x14ac:dyDescent="0.35">
      <c r="A962" s="8" t="s">
        <v>19</v>
      </c>
      <c r="B962" s="9" t="s">
        <v>52</v>
      </c>
      <c r="C962" s="4">
        <v>43675</v>
      </c>
      <c r="D962" s="4">
        <v>43753</v>
      </c>
      <c r="E962" t="s">
        <v>53</v>
      </c>
      <c r="F962" s="9" t="s">
        <v>5</v>
      </c>
      <c r="G962" s="10">
        <v>672</v>
      </c>
    </row>
    <row r="963" spans="1:7" x14ac:dyDescent="0.35">
      <c r="A963" s="8" t="s">
        <v>115</v>
      </c>
      <c r="B963" s="9" t="s">
        <v>122</v>
      </c>
      <c r="C963" s="4">
        <v>43675</v>
      </c>
      <c r="D963" s="4">
        <v>43811</v>
      </c>
      <c r="E963" t="s">
        <v>123</v>
      </c>
      <c r="F963" s="9" t="s">
        <v>5</v>
      </c>
      <c r="G963" s="10">
        <v>1000</v>
      </c>
    </row>
    <row r="964" spans="1:7" x14ac:dyDescent="0.35">
      <c r="A964" s="8" t="s">
        <v>19</v>
      </c>
      <c r="B964" s="9" t="s">
        <v>38</v>
      </c>
      <c r="C964" s="4">
        <v>43675</v>
      </c>
      <c r="D964" s="4">
        <v>43706</v>
      </c>
      <c r="E964" s="9" t="s">
        <v>39</v>
      </c>
      <c r="F964" s="9" t="s">
        <v>5</v>
      </c>
      <c r="G964" s="10">
        <v>1260</v>
      </c>
    </row>
    <row r="965" spans="1:7" x14ac:dyDescent="0.35">
      <c r="A965" s="8" t="s">
        <v>19</v>
      </c>
      <c r="B965" s="9" t="s">
        <v>104</v>
      </c>
      <c r="C965" s="4">
        <v>43675</v>
      </c>
      <c r="D965" s="4">
        <v>43892</v>
      </c>
      <c r="E965" s="9" t="s">
        <v>39</v>
      </c>
      <c r="F965" s="9" t="s">
        <v>5</v>
      </c>
      <c r="G965" s="10">
        <v>1260</v>
      </c>
    </row>
    <row r="966" spans="1:7" x14ac:dyDescent="0.35">
      <c r="A966" s="8" t="s">
        <v>19</v>
      </c>
      <c r="B966" s="9" t="s">
        <v>26</v>
      </c>
      <c r="C966" s="4">
        <v>43675</v>
      </c>
      <c r="D966" s="4">
        <v>43706</v>
      </c>
      <c r="E966" t="s">
        <v>27</v>
      </c>
      <c r="F966" s="9" t="s">
        <v>5</v>
      </c>
      <c r="G966" s="10">
        <v>1400</v>
      </c>
    </row>
    <row r="967" spans="1:7" x14ac:dyDescent="0.35">
      <c r="A967" s="8" t="s">
        <v>19</v>
      </c>
      <c r="B967" s="9" t="s">
        <v>22</v>
      </c>
      <c r="C967" s="4">
        <v>43675</v>
      </c>
      <c r="D967" s="4">
        <v>43706</v>
      </c>
      <c r="E967" t="s">
        <v>23</v>
      </c>
      <c r="F967" s="9" t="s">
        <v>5</v>
      </c>
      <c r="G967" s="10">
        <v>1260</v>
      </c>
    </row>
    <row r="968" spans="1:7" x14ac:dyDescent="0.35">
      <c r="A968" s="8" t="s">
        <v>19</v>
      </c>
      <c r="B968" s="9" t="s">
        <v>103</v>
      </c>
      <c r="C968" s="4">
        <v>43675</v>
      </c>
      <c r="D968" s="4">
        <v>43892</v>
      </c>
      <c r="E968" t="s">
        <v>23</v>
      </c>
      <c r="F968" s="9" t="s">
        <v>5</v>
      </c>
      <c r="G968" s="10">
        <v>1260</v>
      </c>
    </row>
    <row r="969" spans="1:7" x14ac:dyDescent="0.35">
      <c r="A969" s="8" t="s">
        <v>19</v>
      </c>
      <c r="B969" s="9" t="s">
        <v>32</v>
      </c>
      <c r="C969" s="4">
        <v>43675</v>
      </c>
      <c r="D969" s="4">
        <v>43706</v>
      </c>
      <c r="E969" t="s">
        <v>33</v>
      </c>
      <c r="F969" s="9" t="s">
        <v>5</v>
      </c>
      <c r="G969" s="10">
        <v>1260</v>
      </c>
    </row>
    <row r="970" spans="1:7" x14ac:dyDescent="0.35">
      <c r="A970" s="8" t="s">
        <v>19</v>
      </c>
      <c r="B970" s="9" t="s">
        <v>107</v>
      </c>
      <c r="C970" s="4">
        <v>43675</v>
      </c>
      <c r="D970" s="4">
        <v>43892</v>
      </c>
      <c r="E970" t="s">
        <v>33</v>
      </c>
      <c r="F970" s="9" t="s">
        <v>5</v>
      </c>
      <c r="G970" s="10">
        <v>1260</v>
      </c>
    </row>
    <row r="971" spans="1:7" x14ac:dyDescent="0.35">
      <c r="A971" s="8" t="s">
        <v>19</v>
      </c>
      <c r="B971" s="9" t="s">
        <v>76</v>
      </c>
      <c r="C971" s="4">
        <v>43675</v>
      </c>
      <c r="D971" s="4">
        <v>43805</v>
      </c>
      <c r="E971" t="s">
        <v>77</v>
      </c>
      <c r="F971" s="9" t="s">
        <v>5</v>
      </c>
      <c r="G971" s="10">
        <v>100</v>
      </c>
    </row>
    <row r="972" spans="1:7" x14ac:dyDescent="0.35">
      <c r="A972" s="8" t="s">
        <v>19</v>
      </c>
      <c r="B972" s="9" t="s">
        <v>92</v>
      </c>
      <c r="C972" s="4">
        <v>43675</v>
      </c>
      <c r="D972" s="4">
        <v>43847</v>
      </c>
      <c r="E972" t="s">
        <v>77</v>
      </c>
      <c r="F972" s="9" t="s">
        <v>5</v>
      </c>
      <c r="G972" s="10">
        <v>1260</v>
      </c>
    </row>
    <row r="973" spans="1:7" x14ac:dyDescent="0.35">
      <c r="A973" s="8" t="s">
        <v>19</v>
      </c>
      <c r="B973" s="9" t="s">
        <v>110</v>
      </c>
      <c r="C973" s="4">
        <v>43675</v>
      </c>
      <c r="D973" s="4">
        <v>43892</v>
      </c>
      <c r="E973" t="s">
        <v>111</v>
      </c>
      <c r="F973" s="9" t="s">
        <v>5</v>
      </c>
      <c r="G973" s="10">
        <v>1080</v>
      </c>
    </row>
    <row r="974" spans="1:7" x14ac:dyDescent="0.35">
      <c r="A974" s="8" t="s">
        <v>19</v>
      </c>
      <c r="B974" s="9" t="s">
        <v>50</v>
      </c>
      <c r="C974" s="4">
        <v>43675</v>
      </c>
      <c r="D974" s="4">
        <v>43753</v>
      </c>
      <c r="E974" t="s">
        <v>51</v>
      </c>
      <c r="F974" s="9" t="s">
        <v>5</v>
      </c>
      <c r="G974" s="10">
        <v>4700</v>
      </c>
    </row>
    <row r="975" spans="1:7" x14ac:dyDescent="0.35">
      <c r="A975" s="8" t="s">
        <v>19</v>
      </c>
      <c r="B975" s="9" t="s">
        <v>100</v>
      </c>
      <c r="C975" s="4">
        <v>43675</v>
      </c>
      <c r="D975" s="4">
        <v>43889</v>
      </c>
      <c r="E975" t="s">
        <v>51</v>
      </c>
      <c r="F975" s="9" t="s">
        <v>5</v>
      </c>
      <c r="G975" s="10">
        <v>5750</v>
      </c>
    </row>
    <row r="976" spans="1:7" x14ac:dyDescent="0.35">
      <c r="A976" s="8" t="s">
        <v>19</v>
      </c>
      <c r="B976" s="9" t="s">
        <v>46</v>
      </c>
      <c r="C976" s="4">
        <v>43675</v>
      </c>
      <c r="D976" s="4">
        <v>43728</v>
      </c>
      <c r="E976" t="s">
        <v>47</v>
      </c>
      <c r="F976" s="9" t="s">
        <v>5</v>
      </c>
      <c r="G976" s="10">
        <v>590</v>
      </c>
    </row>
    <row r="977" spans="1:7" x14ac:dyDescent="0.35">
      <c r="A977" s="8" t="s">
        <v>148</v>
      </c>
      <c r="B977" s="9" t="s">
        <v>151</v>
      </c>
      <c r="C977" s="4">
        <v>43675</v>
      </c>
      <c r="D977" s="4">
        <v>43861</v>
      </c>
      <c r="E977" t="s">
        <v>152</v>
      </c>
      <c r="F977" s="9" t="s">
        <v>5</v>
      </c>
      <c r="G977" s="10">
        <v>50000</v>
      </c>
    </row>
    <row r="978" spans="1:7" x14ac:dyDescent="0.35">
      <c r="A978" s="8" t="s">
        <v>139</v>
      </c>
      <c r="B978" s="9" t="s">
        <v>144</v>
      </c>
      <c r="C978" s="4">
        <v>43675</v>
      </c>
      <c r="D978" s="4">
        <v>43808</v>
      </c>
      <c r="E978" t="s">
        <v>145</v>
      </c>
      <c r="F978" s="9" t="s">
        <v>5</v>
      </c>
      <c r="G978" s="10">
        <v>50000</v>
      </c>
    </row>
    <row r="979" spans="1:7" x14ac:dyDescent="0.35">
      <c r="A979" s="8" t="s">
        <v>130</v>
      </c>
      <c r="B979" s="9" t="s">
        <v>133</v>
      </c>
      <c r="C979" s="4">
        <v>43675</v>
      </c>
      <c r="D979" s="4">
        <v>43791</v>
      </c>
      <c r="E979" t="s">
        <v>134</v>
      </c>
      <c r="F979" s="9" t="s">
        <v>5</v>
      </c>
      <c r="G979" s="10">
        <v>2000</v>
      </c>
    </row>
    <row r="980" spans="1:7" x14ac:dyDescent="0.35">
      <c r="A980" s="8" t="s">
        <v>130</v>
      </c>
      <c r="B980" s="9" t="s">
        <v>135</v>
      </c>
      <c r="C980" s="4">
        <v>43675</v>
      </c>
      <c r="D980" s="4">
        <v>43885</v>
      </c>
      <c r="E980" t="s">
        <v>136</v>
      </c>
      <c r="F980" s="9" t="s">
        <v>5</v>
      </c>
      <c r="G980" s="10">
        <v>2000</v>
      </c>
    </row>
    <row r="981" spans="1:7" x14ac:dyDescent="0.35">
      <c r="A981" s="8" t="s">
        <v>148</v>
      </c>
      <c r="B981" s="9" t="s">
        <v>149</v>
      </c>
      <c r="C981" s="4">
        <v>43675</v>
      </c>
      <c r="D981" s="4">
        <v>43756</v>
      </c>
      <c r="E981" t="s">
        <v>150</v>
      </c>
      <c r="F981" s="9" t="s">
        <v>5</v>
      </c>
      <c r="G981" s="10">
        <v>50000</v>
      </c>
    </row>
    <row r="982" spans="1:7" x14ac:dyDescent="0.35">
      <c r="A982" s="8" t="s">
        <v>516</v>
      </c>
      <c r="B982" s="9" t="s">
        <v>517</v>
      </c>
      <c r="C982" s="4">
        <v>43678</v>
      </c>
      <c r="D982" s="4">
        <v>43572</v>
      </c>
      <c r="E982" t="s">
        <v>518</v>
      </c>
      <c r="F982" s="9" t="s">
        <v>4</v>
      </c>
      <c r="G982" s="10">
        <v>154000</v>
      </c>
    </row>
    <row r="983" spans="1:7" x14ac:dyDescent="0.35">
      <c r="A983" s="8" t="s">
        <v>2202</v>
      </c>
      <c r="B983" s="9" t="s">
        <v>2569</v>
      </c>
      <c r="C983" s="4">
        <v>43686</v>
      </c>
      <c r="D983" s="4"/>
      <c r="E983" t="s">
        <v>2203</v>
      </c>
      <c r="F983" s="9" t="s">
        <v>5</v>
      </c>
      <c r="G983" s="10">
        <v>7000</v>
      </c>
    </row>
    <row r="984" spans="1:7" x14ac:dyDescent="0.35">
      <c r="A984" s="8" t="s">
        <v>2204</v>
      </c>
      <c r="B984" s="9" t="s">
        <v>2569</v>
      </c>
      <c r="C984" s="4">
        <v>43686</v>
      </c>
      <c r="D984" s="4"/>
      <c r="E984" t="s">
        <v>2203</v>
      </c>
      <c r="F984" s="9" t="s">
        <v>5</v>
      </c>
      <c r="G984" s="10">
        <v>43496</v>
      </c>
    </row>
    <row r="985" spans="1:7" x14ac:dyDescent="0.35">
      <c r="A985" s="8" t="s">
        <v>2206</v>
      </c>
      <c r="B985" s="9" t="s">
        <v>2207</v>
      </c>
      <c r="C985" s="4">
        <v>43703</v>
      </c>
      <c r="D985" s="4">
        <v>43868</v>
      </c>
      <c r="E985" t="s">
        <v>1490</v>
      </c>
      <c r="F985" s="9" t="s">
        <v>5</v>
      </c>
      <c r="G985" s="10">
        <v>2500</v>
      </c>
    </row>
    <row r="986" spans="1:7" x14ac:dyDescent="0.35">
      <c r="A986" s="8" t="s">
        <v>2208</v>
      </c>
      <c r="B986" s="9" t="s">
        <v>2209</v>
      </c>
      <c r="C986" s="4">
        <v>43703</v>
      </c>
      <c r="D986" s="4">
        <v>43868</v>
      </c>
      <c r="E986" t="s">
        <v>1490</v>
      </c>
      <c r="F986" s="9" t="s">
        <v>5</v>
      </c>
      <c r="G986" s="10">
        <v>50000</v>
      </c>
    </row>
    <row r="987" spans="1:7" x14ac:dyDescent="0.35">
      <c r="A987" s="8" t="s">
        <v>2210</v>
      </c>
      <c r="B987" s="9" t="s">
        <v>2211</v>
      </c>
      <c r="C987" s="4">
        <v>43703</v>
      </c>
      <c r="D987" s="4">
        <v>43794</v>
      </c>
      <c r="E987" t="s">
        <v>2212</v>
      </c>
      <c r="F987" s="9" t="s">
        <v>5</v>
      </c>
      <c r="G987" s="10">
        <v>4800</v>
      </c>
    </row>
    <row r="988" spans="1:7" x14ac:dyDescent="0.35">
      <c r="A988" s="8" t="s">
        <v>2213</v>
      </c>
      <c r="B988" s="9" t="s">
        <v>2569</v>
      </c>
      <c r="C988" s="4">
        <v>43711</v>
      </c>
      <c r="D988" s="4"/>
      <c r="E988" t="s">
        <v>2214</v>
      </c>
      <c r="F988" s="9" t="s">
        <v>5</v>
      </c>
      <c r="G988" s="10">
        <v>48000</v>
      </c>
    </row>
    <row r="989" spans="1:7" x14ac:dyDescent="0.35">
      <c r="A989" s="8" t="s">
        <v>2216</v>
      </c>
      <c r="B989" s="9" t="s">
        <v>2569</v>
      </c>
      <c r="C989" s="4">
        <v>43711</v>
      </c>
      <c r="D989" s="4"/>
      <c r="E989" t="s">
        <v>2214</v>
      </c>
      <c r="F989" s="9" t="s">
        <v>5</v>
      </c>
      <c r="G989" s="10">
        <v>100000</v>
      </c>
    </row>
    <row r="990" spans="1:7" x14ac:dyDescent="0.35">
      <c r="A990" s="8" t="s">
        <v>2215</v>
      </c>
      <c r="B990" s="9" t="s">
        <v>2569</v>
      </c>
      <c r="C990" s="4">
        <v>43711</v>
      </c>
      <c r="D990" s="4"/>
      <c r="E990" t="s">
        <v>2214</v>
      </c>
      <c r="F990" s="9" t="s">
        <v>5</v>
      </c>
      <c r="G990" s="10">
        <v>50000</v>
      </c>
    </row>
    <row r="991" spans="1:7" x14ac:dyDescent="0.35">
      <c r="A991" s="8" t="s">
        <v>2087</v>
      </c>
      <c r="B991" s="9" t="s">
        <v>2088</v>
      </c>
      <c r="C991" s="4">
        <v>43717</v>
      </c>
      <c r="D991" s="4">
        <v>43776</v>
      </c>
      <c r="E991" t="s">
        <v>791</v>
      </c>
      <c r="F991" s="9" t="s">
        <v>5</v>
      </c>
      <c r="G991" s="10">
        <v>34046</v>
      </c>
    </row>
    <row r="992" spans="1:7" x14ac:dyDescent="0.35">
      <c r="A992" s="8" t="s">
        <v>2085</v>
      </c>
      <c r="B992" s="9" t="s">
        <v>2086</v>
      </c>
      <c r="C992" s="4">
        <v>43717</v>
      </c>
      <c r="D992" s="4">
        <v>43776</v>
      </c>
      <c r="E992" t="s">
        <v>791</v>
      </c>
      <c r="F992" s="9" t="s">
        <v>5</v>
      </c>
      <c r="G992" s="10">
        <v>36947</v>
      </c>
    </row>
    <row r="993" spans="1:7" x14ac:dyDescent="0.35">
      <c r="A993" s="8" t="s">
        <v>2081</v>
      </c>
      <c r="B993" s="9" t="s">
        <v>2082</v>
      </c>
      <c r="C993" s="4">
        <v>43717</v>
      </c>
      <c r="D993" s="4">
        <v>43775</v>
      </c>
      <c r="E993" t="s">
        <v>780</v>
      </c>
      <c r="F993" s="9" t="s">
        <v>5</v>
      </c>
      <c r="G993" s="10">
        <v>1025</v>
      </c>
    </row>
    <row r="994" spans="1:7" x14ac:dyDescent="0.35">
      <c r="A994" s="8" t="s">
        <v>2073</v>
      </c>
      <c r="B994" s="9" t="s">
        <v>2074</v>
      </c>
      <c r="C994" s="4">
        <v>43717</v>
      </c>
      <c r="D994" s="4">
        <v>43775</v>
      </c>
      <c r="E994" t="s">
        <v>786</v>
      </c>
      <c r="F994" s="9" t="s">
        <v>5</v>
      </c>
      <c r="G994" s="10">
        <v>6195</v>
      </c>
    </row>
    <row r="995" spans="1:7" x14ac:dyDescent="0.35">
      <c r="A995" s="8" t="s">
        <v>2089</v>
      </c>
      <c r="B995" s="9" t="s">
        <v>2090</v>
      </c>
      <c r="C995" s="4">
        <v>43717</v>
      </c>
      <c r="D995" s="4">
        <v>43776</v>
      </c>
      <c r="E995" t="s">
        <v>802</v>
      </c>
      <c r="F995" s="9" t="s">
        <v>5</v>
      </c>
      <c r="G995" s="10">
        <v>4197</v>
      </c>
    </row>
    <row r="996" spans="1:7" x14ac:dyDescent="0.35">
      <c r="A996" s="8" t="s">
        <v>2083</v>
      </c>
      <c r="B996" s="9" t="s">
        <v>2084</v>
      </c>
      <c r="C996" s="4">
        <v>43717</v>
      </c>
      <c r="D996" s="4">
        <v>43769</v>
      </c>
      <c r="E996" t="s">
        <v>810</v>
      </c>
      <c r="F996" s="9" t="s">
        <v>5</v>
      </c>
      <c r="G996" s="10">
        <v>8076</v>
      </c>
    </row>
    <row r="997" spans="1:7" x14ac:dyDescent="0.35">
      <c r="A997" s="8" t="s">
        <v>2077</v>
      </c>
      <c r="B997" s="9" t="s">
        <v>2078</v>
      </c>
      <c r="C997" s="4">
        <v>43717</v>
      </c>
      <c r="D997" s="4">
        <v>43768</v>
      </c>
      <c r="E997" s="9" t="s">
        <v>799</v>
      </c>
      <c r="F997" s="9" t="s">
        <v>5</v>
      </c>
      <c r="G997" s="10">
        <v>9626</v>
      </c>
    </row>
    <row r="998" spans="1:7" x14ac:dyDescent="0.35">
      <c r="A998" s="8" t="s">
        <v>2091</v>
      </c>
      <c r="B998" s="9" t="s">
        <v>2092</v>
      </c>
      <c r="C998" s="4">
        <v>43717</v>
      </c>
      <c r="D998" s="4">
        <v>43762</v>
      </c>
      <c r="E998" t="s">
        <v>774</v>
      </c>
      <c r="F998" s="9" t="s">
        <v>5</v>
      </c>
      <c r="G998" s="10">
        <v>13279</v>
      </c>
    </row>
    <row r="999" spans="1:7" x14ac:dyDescent="0.35">
      <c r="A999" s="8" t="s">
        <v>2079</v>
      </c>
      <c r="B999" s="9" t="s">
        <v>2080</v>
      </c>
      <c r="C999" s="4">
        <v>43717</v>
      </c>
      <c r="D999" s="4">
        <v>43885</v>
      </c>
      <c r="E999" t="s">
        <v>783</v>
      </c>
      <c r="F999" s="9" t="s">
        <v>5</v>
      </c>
      <c r="G999" s="10">
        <v>4815</v>
      </c>
    </row>
    <row r="1000" spans="1:7" x14ac:dyDescent="0.35">
      <c r="A1000" s="8" t="s">
        <v>2075</v>
      </c>
      <c r="B1000" s="9" t="s">
        <v>2076</v>
      </c>
      <c r="C1000" s="4">
        <v>43717</v>
      </c>
      <c r="D1000" s="4">
        <v>43801</v>
      </c>
      <c r="E1000" t="s">
        <v>807</v>
      </c>
      <c r="F1000" s="9" t="s">
        <v>5</v>
      </c>
      <c r="G1000" s="10">
        <v>4753</v>
      </c>
    </row>
    <row r="1001" spans="1:7" x14ac:dyDescent="0.35">
      <c r="A1001" s="8" t="s">
        <v>2242</v>
      </c>
      <c r="B1001" s="9" t="s">
        <v>2243</v>
      </c>
      <c r="C1001" s="4">
        <v>43724</v>
      </c>
      <c r="D1001" s="4">
        <v>43781</v>
      </c>
      <c r="E1001" t="s">
        <v>2222</v>
      </c>
      <c r="F1001" s="9" t="s">
        <v>5</v>
      </c>
      <c r="G1001" s="10">
        <v>24000</v>
      </c>
    </row>
    <row r="1002" spans="1:7" x14ac:dyDescent="0.35">
      <c r="A1002" s="8" t="s">
        <v>2220</v>
      </c>
      <c r="B1002" s="9" t="s">
        <v>2221</v>
      </c>
      <c r="C1002" s="4">
        <v>43724</v>
      </c>
      <c r="D1002" s="4">
        <v>43781</v>
      </c>
      <c r="E1002" t="s">
        <v>2222</v>
      </c>
      <c r="F1002" s="9" t="s">
        <v>5</v>
      </c>
      <c r="G1002" s="10">
        <v>91000</v>
      </c>
    </row>
    <row r="1003" spans="1:7" x14ac:dyDescent="0.35">
      <c r="A1003" s="8" t="s">
        <v>2217</v>
      </c>
      <c r="B1003" s="9" t="s">
        <v>2218</v>
      </c>
      <c r="C1003" s="4">
        <v>43724</v>
      </c>
      <c r="D1003" s="4">
        <v>43861</v>
      </c>
      <c r="E1003" t="s">
        <v>2219</v>
      </c>
      <c r="F1003" s="9" t="s">
        <v>5</v>
      </c>
      <c r="G1003" s="10">
        <v>16000</v>
      </c>
    </row>
    <row r="1004" spans="1:7" x14ac:dyDescent="0.35">
      <c r="A1004" s="8" t="s">
        <v>2239</v>
      </c>
      <c r="B1004" s="9" t="s">
        <v>2240</v>
      </c>
      <c r="C1004" s="4">
        <v>43724</v>
      </c>
      <c r="D1004" s="4">
        <v>43861</v>
      </c>
      <c r="E1004" t="s">
        <v>2219</v>
      </c>
      <c r="F1004" s="9" t="s">
        <v>5</v>
      </c>
      <c r="G1004" s="10">
        <v>100000</v>
      </c>
    </row>
    <row r="1005" spans="1:7" x14ac:dyDescent="0.35">
      <c r="A1005" s="8" t="s">
        <v>2241</v>
      </c>
      <c r="B1005" s="9" t="s">
        <v>2569</v>
      </c>
      <c r="C1005" s="4">
        <v>43724</v>
      </c>
      <c r="D1005" s="4"/>
      <c r="E1005" t="s">
        <v>2219</v>
      </c>
      <c r="F1005" s="9" t="s">
        <v>5</v>
      </c>
      <c r="G1005" s="10">
        <v>50000</v>
      </c>
    </row>
    <row r="1006" spans="1:7" x14ac:dyDescent="0.35">
      <c r="A1006" s="8" t="s">
        <v>2159</v>
      </c>
      <c r="B1006" s="9" t="s">
        <v>2160</v>
      </c>
      <c r="C1006" s="4">
        <v>43724</v>
      </c>
      <c r="D1006" s="4">
        <v>43844</v>
      </c>
      <c r="E1006" t="s">
        <v>2161</v>
      </c>
      <c r="F1006" s="9" t="s">
        <v>5</v>
      </c>
      <c r="G1006" s="10">
        <v>42000</v>
      </c>
    </row>
    <row r="1007" spans="1:7" x14ac:dyDescent="0.35">
      <c r="A1007" s="8" t="s">
        <v>2164</v>
      </c>
      <c r="B1007" s="9" t="s">
        <v>2165</v>
      </c>
      <c r="C1007" s="4">
        <v>43724</v>
      </c>
      <c r="D1007" s="4">
        <v>43844</v>
      </c>
      <c r="E1007" t="s">
        <v>2161</v>
      </c>
      <c r="F1007" s="9" t="s">
        <v>5</v>
      </c>
      <c r="G1007" s="10">
        <v>100000</v>
      </c>
    </row>
    <row r="1008" spans="1:7" x14ac:dyDescent="0.35">
      <c r="A1008" s="8" t="s">
        <v>2162</v>
      </c>
      <c r="B1008" s="9" t="s">
        <v>2163</v>
      </c>
      <c r="C1008" s="4">
        <v>43724</v>
      </c>
      <c r="D1008" s="4">
        <v>43844</v>
      </c>
      <c r="E1008" t="s">
        <v>2161</v>
      </c>
      <c r="F1008" s="9" t="s">
        <v>5</v>
      </c>
      <c r="G1008" s="10">
        <v>100000</v>
      </c>
    </row>
    <row r="1009" spans="1:7" x14ac:dyDescent="0.35">
      <c r="A1009" s="8" t="s">
        <v>696</v>
      </c>
      <c r="B1009" s="9" t="s">
        <v>697</v>
      </c>
      <c r="C1009" s="4">
        <v>43733</v>
      </c>
      <c r="D1009" s="4">
        <v>43819</v>
      </c>
      <c r="E1009" t="s">
        <v>251</v>
      </c>
      <c r="F1009" s="9" t="s">
        <v>4</v>
      </c>
      <c r="G1009" s="10">
        <v>631540</v>
      </c>
    </row>
    <row r="1010" spans="1:7" x14ac:dyDescent="0.35">
      <c r="A1010" s="8" t="s">
        <v>695</v>
      </c>
      <c r="B1010" s="9" t="s">
        <v>2569</v>
      </c>
      <c r="C1010" s="4">
        <v>43733</v>
      </c>
      <c r="D1010" s="4"/>
      <c r="E1010" t="s">
        <v>171</v>
      </c>
      <c r="F1010" s="9" t="s">
        <v>4</v>
      </c>
      <c r="G1010" s="10">
        <v>550000</v>
      </c>
    </row>
    <row r="1011" spans="1:7" x14ac:dyDescent="0.35">
      <c r="A1011" s="8" t="s">
        <v>698</v>
      </c>
      <c r="B1011" s="9" t="s">
        <v>699</v>
      </c>
      <c r="C1011" s="4">
        <v>43733</v>
      </c>
      <c r="D1011" s="4">
        <v>43794</v>
      </c>
      <c r="E1011" t="s">
        <v>257</v>
      </c>
      <c r="F1011" s="9" t="s">
        <v>4</v>
      </c>
      <c r="G1011" s="10">
        <v>99261.27</v>
      </c>
    </row>
    <row r="1012" spans="1:7" x14ac:dyDescent="0.35">
      <c r="A1012" s="8" t="s">
        <v>679</v>
      </c>
      <c r="B1012" s="9" t="s">
        <v>680</v>
      </c>
      <c r="C1012" s="4">
        <v>43735</v>
      </c>
      <c r="D1012" s="4">
        <v>43885</v>
      </c>
      <c r="E1012" t="s">
        <v>678</v>
      </c>
      <c r="F1012" s="9" t="s">
        <v>4</v>
      </c>
      <c r="G1012" s="10">
        <v>1110000</v>
      </c>
    </row>
    <row r="1013" spans="1:7" x14ac:dyDescent="0.35">
      <c r="A1013" s="8" t="s">
        <v>676</v>
      </c>
      <c r="B1013" s="9" t="s">
        <v>677</v>
      </c>
      <c r="C1013" s="4">
        <v>43735</v>
      </c>
      <c r="D1013" s="4">
        <v>43885</v>
      </c>
      <c r="E1013" t="s">
        <v>678</v>
      </c>
      <c r="F1013" s="9" t="s">
        <v>4</v>
      </c>
      <c r="G1013" s="10">
        <v>1500000</v>
      </c>
    </row>
    <row r="1014" spans="1:7" x14ac:dyDescent="0.35">
      <c r="A1014" s="8" t="s">
        <v>689</v>
      </c>
      <c r="B1014" s="9" t="s">
        <v>2569</v>
      </c>
      <c r="C1014" s="4">
        <v>43738</v>
      </c>
      <c r="D1014" s="4"/>
      <c r="E1014" t="s">
        <v>290</v>
      </c>
      <c r="F1014" s="9" t="s">
        <v>4</v>
      </c>
      <c r="G1014" s="10">
        <v>45000</v>
      </c>
    </row>
    <row r="1015" spans="1:7" x14ac:dyDescent="0.35">
      <c r="A1015" s="8" t="s">
        <v>688</v>
      </c>
      <c r="B1015" s="9" t="s">
        <v>2569</v>
      </c>
      <c r="C1015" s="4">
        <v>43738</v>
      </c>
      <c r="D1015" s="4"/>
      <c r="E1015" t="s">
        <v>290</v>
      </c>
      <c r="F1015" s="9" t="s">
        <v>4</v>
      </c>
      <c r="G1015" s="10">
        <v>1250000</v>
      </c>
    </row>
    <row r="1016" spans="1:7" x14ac:dyDescent="0.35">
      <c r="A1016" s="8" t="s">
        <v>711</v>
      </c>
      <c r="B1016" s="9" t="s">
        <v>2569</v>
      </c>
      <c r="C1016" s="4">
        <v>43738</v>
      </c>
      <c r="D1016" s="4"/>
      <c r="E1016" t="s">
        <v>290</v>
      </c>
      <c r="F1016" s="9" t="s">
        <v>4</v>
      </c>
      <c r="G1016" s="10">
        <v>900000</v>
      </c>
    </row>
    <row r="1017" spans="1:7" x14ac:dyDescent="0.35">
      <c r="A1017" s="8" t="s">
        <v>681</v>
      </c>
      <c r="B1017" s="9" t="s">
        <v>682</v>
      </c>
      <c r="C1017" s="4">
        <v>43738</v>
      </c>
      <c r="D1017" s="4">
        <v>43867</v>
      </c>
      <c r="E1017" t="s">
        <v>683</v>
      </c>
      <c r="F1017" s="9" t="s">
        <v>4</v>
      </c>
      <c r="G1017" s="10">
        <v>110000</v>
      </c>
    </row>
    <row r="1018" spans="1:7" x14ac:dyDescent="0.35">
      <c r="A1018" s="8" t="s">
        <v>684</v>
      </c>
      <c r="B1018" s="9" t="s">
        <v>685</v>
      </c>
      <c r="C1018" s="4">
        <v>43738</v>
      </c>
      <c r="D1018" s="4">
        <v>43867</v>
      </c>
      <c r="E1018" t="s">
        <v>683</v>
      </c>
      <c r="F1018" s="9" t="s">
        <v>4</v>
      </c>
      <c r="G1018" s="10">
        <v>125000</v>
      </c>
    </row>
    <row r="1019" spans="1:7" x14ac:dyDescent="0.35">
      <c r="A1019" s="8" t="s">
        <v>686</v>
      </c>
      <c r="B1019" s="9" t="s">
        <v>687</v>
      </c>
      <c r="C1019" s="4">
        <v>43738</v>
      </c>
      <c r="D1019" s="4">
        <v>43867</v>
      </c>
      <c r="E1019" t="s">
        <v>683</v>
      </c>
      <c r="F1019" s="9" t="s">
        <v>4</v>
      </c>
      <c r="G1019" s="10">
        <v>125000</v>
      </c>
    </row>
    <row r="1020" spans="1:7" x14ac:dyDescent="0.35">
      <c r="A1020" s="8" t="s">
        <v>2100</v>
      </c>
      <c r="B1020" s="9" t="s">
        <v>2101</v>
      </c>
      <c r="C1020" s="4">
        <v>43740</v>
      </c>
      <c r="D1020" s="4">
        <v>43784</v>
      </c>
      <c r="E1020" t="s">
        <v>780</v>
      </c>
      <c r="F1020" s="9" t="s">
        <v>5</v>
      </c>
      <c r="G1020" s="10">
        <v>1050</v>
      </c>
    </row>
    <row r="1021" spans="1:7" x14ac:dyDescent="0.35">
      <c r="A1021" s="8" t="s">
        <v>2098</v>
      </c>
      <c r="B1021" s="9" t="s">
        <v>2099</v>
      </c>
      <c r="C1021" s="4">
        <v>43740</v>
      </c>
      <c r="D1021" s="4">
        <v>43800</v>
      </c>
      <c r="E1021" t="s">
        <v>802</v>
      </c>
      <c r="F1021" s="9" t="s">
        <v>5</v>
      </c>
      <c r="G1021" s="10">
        <v>9505</v>
      </c>
    </row>
    <row r="1022" spans="1:7" x14ac:dyDescent="0.35">
      <c r="A1022" s="8" t="s">
        <v>2093</v>
      </c>
      <c r="B1022" s="9" t="s">
        <v>2094</v>
      </c>
      <c r="C1022" s="4">
        <v>43740</v>
      </c>
      <c r="D1022" s="4">
        <v>43774</v>
      </c>
      <c r="E1022" t="s">
        <v>846</v>
      </c>
      <c r="F1022" s="9" t="s">
        <v>5</v>
      </c>
      <c r="G1022" s="10">
        <v>3711</v>
      </c>
    </row>
    <row r="1023" spans="1:7" x14ac:dyDescent="0.35">
      <c r="A1023" s="8" t="s">
        <v>2095</v>
      </c>
      <c r="B1023" s="9" t="s">
        <v>2569</v>
      </c>
      <c r="C1023" s="4">
        <v>43740</v>
      </c>
      <c r="D1023" s="4"/>
      <c r="E1023" t="s">
        <v>846</v>
      </c>
      <c r="F1023" s="9" t="s">
        <v>5</v>
      </c>
      <c r="G1023" s="10">
        <v>13575</v>
      </c>
    </row>
    <row r="1024" spans="1:7" x14ac:dyDescent="0.35">
      <c r="A1024" s="8" t="s">
        <v>2096</v>
      </c>
      <c r="B1024" s="9" t="s">
        <v>2569</v>
      </c>
      <c r="C1024" s="4">
        <v>43740</v>
      </c>
      <c r="D1024" s="4"/>
      <c r="E1024" t="s">
        <v>846</v>
      </c>
      <c r="F1024" s="9" t="s">
        <v>5</v>
      </c>
      <c r="G1024" s="10">
        <v>8447</v>
      </c>
    </row>
    <row r="1025" spans="1:7" x14ac:dyDescent="0.35">
      <c r="A1025" s="8" t="s">
        <v>2097</v>
      </c>
      <c r="B1025" s="9" t="s">
        <v>2569</v>
      </c>
      <c r="C1025" s="4">
        <v>43740</v>
      </c>
      <c r="D1025" s="4"/>
      <c r="E1025" t="s">
        <v>846</v>
      </c>
      <c r="F1025" s="9" t="s">
        <v>5</v>
      </c>
      <c r="G1025" s="10">
        <v>13357</v>
      </c>
    </row>
    <row r="1026" spans="1:7" x14ac:dyDescent="0.35">
      <c r="A1026" s="8" t="s">
        <v>2226</v>
      </c>
      <c r="B1026" s="9" t="s">
        <v>2227</v>
      </c>
      <c r="C1026" s="4">
        <v>43741</v>
      </c>
      <c r="D1026" s="4">
        <v>43984</v>
      </c>
      <c r="E1026" t="s">
        <v>2225</v>
      </c>
      <c r="F1026" s="9" t="s">
        <v>5</v>
      </c>
      <c r="G1026" s="10">
        <v>18000</v>
      </c>
    </row>
    <row r="1027" spans="1:7" x14ac:dyDescent="0.35">
      <c r="A1027" s="8" t="s">
        <v>2223</v>
      </c>
      <c r="B1027" s="9" t="s">
        <v>2224</v>
      </c>
      <c r="C1027" s="4">
        <v>43741</v>
      </c>
      <c r="D1027" s="4">
        <v>44012</v>
      </c>
      <c r="E1027" t="s">
        <v>2225</v>
      </c>
      <c r="F1027" s="9" t="s">
        <v>5</v>
      </c>
      <c r="G1027" s="10">
        <v>70000</v>
      </c>
    </row>
    <row r="1028" spans="1:7" x14ac:dyDescent="0.35">
      <c r="A1028" s="8" t="s">
        <v>690</v>
      </c>
      <c r="B1028" s="9" t="s">
        <v>691</v>
      </c>
      <c r="C1028" s="4">
        <v>43742</v>
      </c>
      <c r="D1028" s="4">
        <v>43782</v>
      </c>
      <c r="E1028" t="s">
        <v>187</v>
      </c>
      <c r="F1028" s="9" t="s">
        <v>4</v>
      </c>
      <c r="G1028" s="10">
        <v>440000</v>
      </c>
    </row>
    <row r="1029" spans="1:7" x14ac:dyDescent="0.35">
      <c r="A1029" s="8" t="s">
        <v>2228</v>
      </c>
      <c r="B1029" s="9" t="s">
        <v>2229</v>
      </c>
      <c r="C1029" s="4">
        <v>43746</v>
      </c>
      <c r="D1029" s="4">
        <v>43874</v>
      </c>
      <c r="E1029" t="s">
        <v>2230</v>
      </c>
      <c r="F1029" s="9" t="s">
        <v>5</v>
      </c>
      <c r="G1029" s="10">
        <v>86000</v>
      </c>
    </row>
    <row r="1030" spans="1:7" x14ac:dyDescent="0.35">
      <c r="A1030" s="8" t="s">
        <v>2234</v>
      </c>
      <c r="B1030" s="9" t="s">
        <v>2235</v>
      </c>
      <c r="C1030" s="4">
        <v>43749</v>
      </c>
      <c r="D1030" s="4">
        <v>43874</v>
      </c>
      <c r="E1030" t="s">
        <v>2236</v>
      </c>
      <c r="F1030" s="9" t="s">
        <v>5</v>
      </c>
      <c r="G1030" s="10">
        <v>20000</v>
      </c>
    </row>
    <row r="1031" spans="1:7" x14ac:dyDescent="0.35">
      <c r="A1031" s="8" t="s">
        <v>2237</v>
      </c>
      <c r="B1031" s="9" t="s">
        <v>2238</v>
      </c>
      <c r="C1031" s="4">
        <v>43749</v>
      </c>
      <c r="D1031" s="4">
        <v>43882</v>
      </c>
      <c r="E1031" t="s">
        <v>2236</v>
      </c>
      <c r="F1031" s="9" t="s">
        <v>5</v>
      </c>
      <c r="G1031" s="10">
        <v>200000</v>
      </c>
    </row>
    <row r="1032" spans="1:7" x14ac:dyDescent="0.35">
      <c r="A1032" s="8" t="s">
        <v>694</v>
      </c>
      <c r="B1032" s="9" t="s">
        <v>2569</v>
      </c>
      <c r="C1032" s="4">
        <v>43749</v>
      </c>
      <c r="D1032" s="4"/>
      <c r="E1032" t="s">
        <v>693</v>
      </c>
      <c r="F1032" s="9" t="s">
        <v>4</v>
      </c>
      <c r="G1032" s="10">
        <v>150000</v>
      </c>
    </row>
    <row r="1033" spans="1:7" x14ac:dyDescent="0.35">
      <c r="A1033" s="8" t="s">
        <v>692</v>
      </c>
      <c r="B1033" s="9" t="s">
        <v>2569</v>
      </c>
      <c r="C1033" s="4">
        <v>43749</v>
      </c>
      <c r="D1033" s="4"/>
      <c r="E1033" t="s">
        <v>693</v>
      </c>
      <c r="F1033" s="9" t="s">
        <v>4</v>
      </c>
      <c r="G1033" s="10">
        <v>1700000</v>
      </c>
    </row>
    <row r="1034" spans="1:7" x14ac:dyDescent="0.35">
      <c r="A1034" s="8" t="s">
        <v>2231</v>
      </c>
      <c r="B1034" s="9" t="s">
        <v>2569</v>
      </c>
      <c r="C1034" s="4">
        <v>43749</v>
      </c>
      <c r="D1034" s="4"/>
      <c r="E1034" t="s">
        <v>1373</v>
      </c>
      <c r="F1034" s="9" t="s">
        <v>5</v>
      </c>
      <c r="G1034" s="10">
        <v>10000</v>
      </c>
    </row>
    <row r="1035" spans="1:7" x14ac:dyDescent="0.35">
      <c r="A1035" s="8" t="s">
        <v>2233</v>
      </c>
      <c r="B1035" s="9" t="s">
        <v>2569</v>
      </c>
      <c r="C1035" s="4">
        <v>43749</v>
      </c>
      <c r="D1035" s="4"/>
      <c r="E1035" t="s">
        <v>1373</v>
      </c>
      <c r="F1035" s="9" t="s">
        <v>5</v>
      </c>
      <c r="G1035" s="10">
        <v>50000</v>
      </c>
    </row>
    <row r="1036" spans="1:7" x14ac:dyDescent="0.35">
      <c r="A1036" s="8" t="s">
        <v>2232</v>
      </c>
      <c r="B1036" s="9" t="s">
        <v>2569</v>
      </c>
      <c r="C1036" s="4">
        <v>43749</v>
      </c>
      <c r="D1036" s="4"/>
      <c r="E1036" t="s">
        <v>1373</v>
      </c>
      <c r="F1036" s="9" t="s">
        <v>5</v>
      </c>
      <c r="G1036" s="10">
        <v>100000</v>
      </c>
    </row>
    <row r="1037" spans="1:7" x14ac:dyDescent="0.35">
      <c r="A1037" s="8" t="s">
        <v>2108</v>
      </c>
      <c r="B1037" s="9" t="s">
        <v>2109</v>
      </c>
      <c r="C1037" s="4">
        <v>43767</v>
      </c>
      <c r="D1037" s="4">
        <v>43801</v>
      </c>
      <c r="E1037" t="s">
        <v>849</v>
      </c>
      <c r="F1037" s="9" t="s">
        <v>5</v>
      </c>
      <c r="G1037" s="10">
        <v>2791</v>
      </c>
    </row>
    <row r="1038" spans="1:7" x14ac:dyDescent="0.35">
      <c r="A1038" s="8" t="s">
        <v>2102</v>
      </c>
      <c r="B1038" s="9" t="s">
        <v>2103</v>
      </c>
      <c r="C1038" s="4">
        <v>43767</v>
      </c>
      <c r="D1038" s="4">
        <v>43808</v>
      </c>
      <c r="E1038" t="s">
        <v>1621</v>
      </c>
      <c r="F1038" s="9" t="s">
        <v>5</v>
      </c>
      <c r="G1038" s="10">
        <v>60920</v>
      </c>
    </row>
    <row r="1039" spans="1:7" x14ac:dyDescent="0.35">
      <c r="A1039" s="8" t="s">
        <v>2104</v>
      </c>
      <c r="B1039" s="9" t="s">
        <v>2105</v>
      </c>
      <c r="C1039" s="4">
        <v>43767</v>
      </c>
      <c r="D1039" s="4">
        <v>43796</v>
      </c>
      <c r="E1039" t="s">
        <v>799</v>
      </c>
      <c r="F1039" s="9" t="s">
        <v>5</v>
      </c>
      <c r="G1039" s="10">
        <v>12096</v>
      </c>
    </row>
    <row r="1040" spans="1:7" x14ac:dyDescent="0.35">
      <c r="A1040" s="8" t="s">
        <v>2106</v>
      </c>
      <c r="B1040" s="9" t="s">
        <v>2107</v>
      </c>
      <c r="C1040" s="4">
        <v>43767</v>
      </c>
      <c r="D1040" s="4">
        <v>43801</v>
      </c>
      <c r="E1040" t="s">
        <v>774</v>
      </c>
      <c r="F1040" s="9" t="s">
        <v>5</v>
      </c>
      <c r="G1040" s="10">
        <v>11517</v>
      </c>
    </row>
    <row r="1041" spans="1:7" x14ac:dyDescent="0.35">
      <c r="A1041" s="8" t="s">
        <v>2110</v>
      </c>
      <c r="B1041" s="9" t="s">
        <v>2111</v>
      </c>
      <c r="C1041" s="4">
        <v>43770</v>
      </c>
      <c r="D1041" s="4">
        <v>43858</v>
      </c>
      <c r="E1041" t="s">
        <v>815</v>
      </c>
      <c r="F1041" s="9" t="s">
        <v>5</v>
      </c>
      <c r="G1041" s="10">
        <v>26853</v>
      </c>
    </row>
    <row r="1042" spans="1:7" x14ac:dyDescent="0.35">
      <c r="A1042" s="8" t="s">
        <v>2112</v>
      </c>
      <c r="B1042" s="9" t="s">
        <v>2113</v>
      </c>
      <c r="C1042" s="4">
        <v>43770</v>
      </c>
      <c r="D1042" s="4">
        <v>43885</v>
      </c>
      <c r="E1042" t="s">
        <v>783</v>
      </c>
      <c r="F1042" s="9" t="s">
        <v>5</v>
      </c>
      <c r="G1042" s="10">
        <v>3796</v>
      </c>
    </row>
    <row r="1043" spans="1:7" x14ac:dyDescent="0.35">
      <c r="A1043" s="8" t="s">
        <v>741</v>
      </c>
      <c r="B1043" s="9" t="s">
        <v>742</v>
      </c>
      <c r="C1043" s="4">
        <v>43770</v>
      </c>
      <c r="D1043" s="4">
        <v>43829</v>
      </c>
      <c r="E1043" t="s">
        <v>740</v>
      </c>
      <c r="F1043" s="9" t="s">
        <v>4</v>
      </c>
      <c r="G1043" s="10">
        <v>750000</v>
      </c>
    </row>
    <row r="1044" spans="1:7" x14ac:dyDescent="0.35">
      <c r="A1044" s="8" t="s">
        <v>738</v>
      </c>
      <c r="B1044" s="9" t="s">
        <v>739</v>
      </c>
      <c r="C1044" s="4">
        <v>43770</v>
      </c>
      <c r="D1044" s="4">
        <v>44109</v>
      </c>
      <c r="E1044" t="s">
        <v>740</v>
      </c>
      <c r="F1044" s="9" t="s">
        <v>4</v>
      </c>
      <c r="G1044" s="10">
        <v>1850000</v>
      </c>
    </row>
    <row r="1045" spans="1:7" x14ac:dyDescent="0.35">
      <c r="A1045" s="8" t="s">
        <v>757</v>
      </c>
      <c r="B1045" s="9" t="s">
        <v>758</v>
      </c>
      <c r="C1045" s="4">
        <v>43774</v>
      </c>
      <c r="D1045" s="4">
        <v>44008</v>
      </c>
      <c r="E1045" t="s">
        <v>211</v>
      </c>
      <c r="F1045" s="9" t="s">
        <v>4</v>
      </c>
      <c r="G1045" s="10">
        <v>68250</v>
      </c>
    </row>
    <row r="1046" spans="1:7" x14ac:dyDescent="0.35">
      <c r="A1046" s="8" t="s">
        <v>754</v>
      </c>
      <c r="B1046" s="9" t="s">
        <v>755</v>
      </c>
      <c r="C1046" s="4">
        <v>43774</v>
      </c>
      <c r="D1046" s="4">
        <v>44085</v>
      </c>
      <c r="E1046" t="s">
        <v>756</v>
      </c>
      <c r="F1046" s="9" t="s">
        <v>4</v>
      </c>
      <c r="G1046" s="10">
        <v>39000</v>
      </c>
    </row>
    <row r="1047" spans="1:7" x14ac:dyDescent="0.35">
      <c r="A1047" s="8" t="s">
        <v>732</v>
      </c>
      <c r="B1047" s="9" t="s">
        <v>733</v>
      </c>
      <c r="C1047" s="4">
        <v>43774</v>
      </c>
      <c r="D1047" s="4">
        <v>44013</v>
      </c>
      <c r="E1047" t="s">
        <v>734</v>
      </c>
      <c r="F1047" s="9" t="s">
        <v>4</v>
      </c>
      <c r="G1047" s="10">
        <v>209050</v>
      </c>
    </row>
    <row r="1048" spans="1:7" x14ac:dyDescent="0.35">
      <c r="A1048" s="8" t="s">
        <v>730</v>
      </c>
      <c r="B1048" s="9" t="s">
        <v>731</v>
      </c>
      <c r="C1048" s="4">
        <v>43774</v>
      </c>
      <c r="D1048" s="4">
        <v>43872</v>
      </c>
      <c r="E1048" t="s">
        <v>498</v>
      </c>
      <c r="F1048" s="9" t="s">
        <v>4</v>
      </c>
      <c r="G1048" s="10">
        <v>110000</v>
      </c>
    </row>
    <row r="1049" spans="1:7" x14ac:dyDescent="0.35">
      <c r="A1049" s="8" t="s">
        <v>2271</v>
      </c>
      <c r="B1049" s="9" t="s">
        <v>2569</v>
      </c>
      <c r="C1049" s="4">
        <v>43774</v>
      </c>
      <c r="D1049" s="4"/>
      <c r="E1049" t="s">
        <v>2270</v>
      </c>
      <c r="F1049" s="9" t="s">
        <v>5</v>
      </c>
      <c r="G1049" s="10">
        <v>36000</v>
      </c>
    </row>
    <row r="1050" spans="1:7" x14ac:dyDescent="0.35">
      <c r="A1050" s="8" t="s">
        <v>2269</v>
      </c>
      <c r="B1050" s="9" t="s">
        <v>2569</v>
      </c>
      <c r="C1050" s="4">
        <v>43774</v>
      </c>
      <c r="D1050" s="4"/>
      <c r="E1050" t="s">
        <v>2270</v>
      </c>
      <c r="F1050" s="9" t="s">
        <v>5</v>
      </c>
      <c r="G1050" s="10">
        <v>200000</v>
      </c>
    </row>
    <row r="1051" spans="1:7" x14ac:dyDescent="0.35">
      <c r="A1051" s="8" t="s">
        <v>2244</v>
      </c>
      <c r="B1051" s="9" t="s">
        <v>2245</v>
      </c>
      <c r="C1051" s="4">
        <v>43774</v>
      </c>
      <c r="D1051" s="4">
        <v>43881</v>
      </c>
      <c r="E1051" t="s">
        <v>1123</v>
      </c>
      <c r="F1051" s="9" t="s">
        <v>5</v>
      </c>
      <c r="G1051" s="10">
        <v>45717.5</v>
      </c>
    </row>
    <row r="1052" spans="1:7" x14ac:dyDescent="0.35">
      <c r="A1052" s="8" t="s">
        <v>737</v>
      </c>
      <c r="B1052" s="9" t="s">
        <v>2569</v>
      </c>
      <c r="C1052" s="4">
        <v>43774</v>
      </c>
      <c r="D1052" s="4"/>
      <c r="E1052" t="s">
        <v>2537</v>
      </c>
      <c r="F1052" s="9" t="s">
        <v>4</v>
      </c>
      <c r="G1052" s="10">
        <v>67154</v>
      </c>
    </row>
    <row r="1053" spans="1:7" x14ac:dyDescent="0.35">
      <c r="A1053" s="8" t="s">
        <v>735</v>
      </c>
      <c r="B1053" s="9" t="s">
        <v>736</v>
      </c>
      <c r="C1053" s="4">
        <v>43774</v>
      </c>
      <c r="D1053" s="4">
        <v>44011</v>
      </c>
      <c r="E1053" t="s">
        <v>191</v>
      </c>
      <c r="F1053" s="9" t="s">
        <v>4</v>
      </c>
      <c r="G1053" s="10">
        <v>198500</v>
      </c>
    </row>
    <row r="1054" spans="1:7" x14ac:dyDescent="0.35">
      <c r="A1054" s="8" t="s">
        <v>2258</v>
      </c>
      <c r="B1054" s="9" t="s">
        <v>2569</v>
      </c>
      <c r="C1054" s="4">
        <v>43775</v>
      </c>
      <c r="D1054" s="4"/>
      <c r="E1054" t="s">
        <v>2257</v>
      </c>
      <c r="F1054" s="9" t="s">
        <v>5</v>
      </c>
      <c r="G1054" s="10">
        <v>3000</v>
      </c>
    </row>
    <row r="1055" spans="1:7" x14ac:dyDescent="0.35">
      <c r="A1055" s="8" t="s">
        <v>2256</v>
      </c>
      <c r="B1055" s="9" t="s">
        <v>2569</v>
      </c>
      <c r="C1055" s="4">
        <v>43775</v>
      </c>
      <c r="D1055" s="4"/>
      <c r="E1055" t="s">
        <v>2257</v>
      </c>
      <c r="F1055" s="9" t="s">
        <v>5</v>
      </c>
      <c r="G1055" s="10">
        <v>14400</v>
      </c>
    </row>
    <row r="1056" spans="1:7" x14ac:dyDescent="0.35">
      <c r="A1056" s="8" t="s">
        <v>2254</v>
      </c>
      <c r="B1056" s="9" t="s">
        <v>2569</v>
      </c>
      <c r="C1056" s="4">
        <v>43775</v>
      </c>
      <c r="D1056" s="4"/>
      <c r="E1056" t="s">
        <v>2255</v>
      </c>
      <c r="F1056" s="9" t="s">
        <v>5</v>
      </c>
      <c r="G1056" s="10">
        <v>5000</v>
      </c>
    </row>
    <row r="1057" spans="1:7" x14ac:dyDescent="0.35">
      <c r="A1057" s="8" t="s">
        <v>2251</v>
      </c>
      <c r="B1057" s="9" t="s">
        <v>2252</v>
      </c>
      <c r="C1057" s="4">
        <v>43775</v>
      </c>
      <c r="D1057" s="4">
        <v>43991</v>
      </c>
      <c r="E1057" t="s">
        <v>2253</v>
      </c>
      <c r="F1057" s="9" t="s">
        <v>5</v>
      </c>
      <c r="G1057" s="10">
        <v>5000</v>
      </c>
    </row>
    <row r="1058" spans="1:7" x14ac:dyDescent="0.35">
      <c r="A1058" s="8" t="s">
        <v>2249</v>
      </c>
      <c r="B1058" s="9" t="s">
        <v>2250</v>
      </c>
      <c r="C1058" s="4">
        <v>43775</v>
      </c>
      <c r="D1058" s="4">
        <v>44010</v>
      </c>
      <c r="E1058" t="s">
        <v>2248</v>
      </c>
      <c r="F1058" s="9" t="s">
        <v>5</v>
      </c>
      <c r="G1058" s="10">
        <v>12500</v>
      </c>
    </row>
    <row r="1059" spans="1:7" x14ac:dyDescent="0.35">
      <c r="A1059" s="8" t="s">
        <v>2246</v>
      </c>
      <c r="B1059" s="9" t="s">
        <v>2247</v>
      </c>
      <c r="C1059" s="4">
        <v>43775</v>
      </c>
      <c r="D1059" s="4">
        <v>44010</v>
      </c>
      <c r="E1059" t="s">
        <v>2248</v>
      </c>
      <c r="F1059" s="9" t="s">
        <v>5</v>
      </c>
      <c r="G1059" s="10">
        <v>85691</v>
      </c>
    </row>
    <row r="1060" spans="1:7" x14ac:dyDescent="0.35">
      <c r="A1060" s="8" t="s">
        <v>700</v>
      </c>
      <c r="B1060" s="9" t="s">
        <v>2569</v>
      </c>
      <c r="C1060" s="4">
        <v>43776</v>
      </c>
      <c r="D1060" s="4"/>
      <c r="E1060" t="s">
        <v>701</v>
      </c>
      <c r="F1060" s="9" t="s">
        <v>4</v>
      </c>
      <c r="G1060" s="10">
        <v>532000</v>
      </c>
    </row>
    <row r="1061" spans="1:7" x14ac:dyDescent="0.35">
      <c r="A1061" s="8" t="s">
        <v>702</v>
      </c>
      <c r="B1061" s="9" t="s">
        <v>703</v>
      </c>
      <c r="C1061" s="4">
        <v>43776</v>
      </c>
      <c r="D1061" s="4">
        <v>43782</v>
      </c>
      <c r="E1061" t="s">
        <v>515</v>
      </c>
      <c r="F1061" s="9" t="s">
        <v>4</v>
      </c>
      <c r="G1061" s="10">
        <v>150000</v>
      </c>
    </row>
    <row r="1062" spans="1:7" x14ac:dyDescent="0.35">
      <c r="A1062" s="8" t="s">
        <v>7</v>
      </c>
      <c r="B1062" s="9" t="s">
        <v>10</v>
      </c>
      <c r="C1062" s="4">
        <v>43776</v>
      </c>
      <c r="D1062" s="4">
        <v>44011</v>
      </c>
      <c r="E1062" t="s">
        <v>11</v>
      </c>
      <c r="F1062" s="9" t="s">
        <v>4</v>
      </c>
      <c r="G1062" s="10">
        <v>723330</v>
      </c>
    </row>
    <row r="1063" spans="1:7" x14ac:dyDescent="0.35">
      <c r="A1063" s="8" t="s">
        <v>7</v>
      </c>
      <c r="B1063" s="9" t="s">
        <v>14</v>
      </c>
      <c r="C1063" s="4">
        <v>43776</v>
      </c>
      <c r="D1063" s="4">
        <v>44071</v>
      </c>
      <c r="E1063" t="s">
        <v>15</v>
      </c>
      <c r="F1063" s="9" t="s">
        <v>4</v>
      </c>
      <c r="G1063" s="10">
        <v>1499000</v>
      </c>
    </row>
    <row r="1064" spans="1:7" x14ac:dyDescent="0.35">
      <c r="A1064" s="8" t="s">
        <v>7</v>
      </c>
      <c r="B1064" s="9" t="s">
        <v>8</v>
      </c>
      <c r="C1064" s="4">
        <v>43776</v>
      </c>
      <c r="D1064" s="4">
        <v>43903</v>
      </c>
      <c r="E1064" t="s">
        <v>9</v>
      </c>
      <c r="F1064" s="9" t="s">
        <v>4</v>
      </c>
      <c r="G1064" s="10">
        <v>35000</v>
      </c>
    </row>
    <row r="1065" spans="1:7" x14ac:dyDescent="0.35">
      <c r="A1065" s="8" t="s">
        <v>7</v>
      </c>
      <c r="B1065" s="9" t="s">
        <v>16</v>
      </c>
      <c r="C1065" s="4">
        <v>43776</v>
      </c>
      <c r="D1065" s="4">
        <v>44078</v>
      </c>
      <c r="E1065" t="s">
        <v>9</v>
      </c>
      <c r="F1065" s="9" t="s">
        <v>4</v>
      </c>
      <c r="G1065" s="10">
        <v>9500</v>
      </c>
    </row>
    <row r="1066" spans="1:7" x14ac:dyDescent="0.35">
      <c r="A1066" s="8" t="s">
        <v>7</v>
      </c>
      <c r="B1066" s="9" t="s">
        <v>12</v>
      </c>
      <c r="C1066" s="4">
        <v>43776</v>
      </c>
      <c r="D1066" s="4">
        <v>44012</v>
      </c>
      <c r="E1066" t="s">
        <v>13</v>
      </c>
      <c r="F1066" s="9" t="s">
        <v>4</v>
      </c>
      <c r="G1066" s="10">
        <v>200000</v>
      </c>
    </row>
    <row r="1067" spans="1:7" x14ac:dyDescent="0.35">
      <c r="A1067" s="8" t="s">
        <v>7</v>
      </c>
      <c r="B1067" s="9" t="s">
        <v>17</v>
      </c>
      <c r="C1067" s="4">
        <v>43776</v>
      </c>
      <c r="D1067" s="4">
        <v>44083</v>
      </c>
      <c r="E1067" t="s">
        <v>18</v>
      </c>
      <c r="F1067" s="9" t="s">
        <v>4</v>
      </c>
      <c r="G1067" s="10">
        <v>1500000</v>
      </c>
    </row>
    <row r="1068" spans="1:7" x14ac:dyDescent="0.35">
      <c r="A1068" s="8" t="s">
        <v>714</v>
      </c>
      <c r="B1068" s="9" t="s">
        <v>715</v>
      </c>
      <c r="C1068" s="4">
        <v>43777</v>
      </c>
      <c r="D1068" s="4">
        <v>44026</v>
      </c>
      <c r="E1068" t="s">
        <v>174</v>
      </c>
      <c r="F1068" s="9" t="s">
        <v>4</v>
      </c>
      <c r="G1068" s="10">
        <v>15000</v>
      </c>
    </row>
    <row r="1069" spans="1:7" x14ac:dyDescent="0.35">
      <c r="A1069" s="8" t="s">
        <v>712</v>
      </c>
      <c r="B1069" s="9" t="s">
        <v>713</v>
      </c>
      <c r="C1069" s="4">
        <v>43777</v>
      </c>
      <c r="D1069" s="4">
        <v>44026</v>
      </c>
      <c r="E1069" t="s">
        <v>174</v>
      </c>
      <c r="F1069" s="9" t="s">
        <v>4</v>
      </c>
      <c r="G1069" s="10">
        <v>7000000</v>
      </c>
    </row>
    <row r="1070" spans="1:7" x14ac:dyDescent="0.35">
      <c r="A1070" s="8" t="s">
        <v>719</v>
      </c>
      <c r="B1070" s="9" t="s">
        <v>720</v>
      </c>
      <c r="C1070" s="4">
        <v>43777</v>
      </c>
      <c r="D1070" s="4">
        <v>44036</v>
      </c>
      <c r="E1070" t="s">
        <v>203</v>
      </c>
      <c r="F1070" s="9" t="s">
        <v>4</v>
      </c>
      <c r="G1070" s="10">
        <v>800000</v>
      </c>
    </row>
    <row r="1071" spans="1:7" x14ac:dyDescent="0.35">
      <c r="A1071" s="8" t="s">
        <v>721</v>
      </c>
      <c r="B1071" s="9" t="s">
        <v>2569</v>
      </c>
      <c r="C1071" s="4">
        <v>43777</v>
      </c>
      <c r="D1071" s="4"/>
      <c r="E1071" t="s">
        <v>722</v>
      </c>
      <c r="F1071" s="9" t="s">
        <v>4</v>
      </c>
      <c r="G1071" s="10">
        <v>1288000</v>
      </c>
    </row>
    <row r="1072" spans="1:7" x14ac:dyDescent="0.35">
      <c r="A1072" s="8" t="s">
        <v>723</v>
      </c>
      <c r="B1072" s="9" t="s">
        <v>2569</v>
      </c>
      <c r="C1072" s="4">
        <v>43777</v>
      </c>
      <c r="D1072" s="4"/>
      <c r="E1072" t="s">
        <v>722</v>
      </c>
      <c r="F1072" s="9" t="s">
        <v>4</v>
      </c>
      <c r="G1072" s="10">
        <v>300000</v>
      </c>
    </row>
    <row r="1073" spans="1:7" x14ac:dyDescent="0.35">
      <c r="A1073" s="8" t="s">
        <v>724</v>
      </c>
      <c r="B1073" s="9" t="s">
        <v>2569</v>
      </c>
      <c r="C1073" s="4">
        <v>43777</v>
      </c>
      <c r="D1073" s="4"/>
      <c r="E1073" t="s">
        <v>722</v>
      </c>
      <c r="F1073" s="9" t="s">
        <v>4</v>
      </c>
      <c r="G1073" s="10">
        <v>1500000</v>
      </c>
    </row>
    <row r="1074" spans="1:7" x14ac:dyDescent="0.35">
      <c r="A1074" s="8" t="s">
        <v>725</v>
      </c>
      <c r="B1074" s="9" t="s">
        <v>2569</v>
      </c>
      <c r="C1074" s="4">
        <v>43777</v>
      </c>
      <c r="D1074" s="4"/>
      <c r="E1074" t="s">
        <v>647</v>
      </c>
      <c r="F1074" s="9" t="s">
        <v>4</v>
      </c>
      <c r="G1074" s="10">
        <v>570000</v>
      </c>
    </row>
    <row r="1075" spans="1:7" x14ac:dyDescent="0.35">
      <c r="A1075" s="8" t="s">
        <v>729</v>
      </c>
      <c r="B1075" s="9" t="s">
        <v>2569</v>
      </c>
      <c r="C1075" s="4">
        <v>43777</v>
      </c>
      <c r="D1075" s="4"/>
      <c r="E1075" t="s">
        <v>647</v>
      </c>
      <c r="F1075" s="9" t="s">
        <v>4</v>
      </c>
      <c r="G1075" s="10">
        <v>360000</v>
      </c>
    </row>
    <row r="1076" spans="1:7" x14ac:dyDescent="0.35">
      <c r="A1076" s="8" t="s">
        <v>726</v>
      </c>
      <c r="B1076" s="9" t="s">
        <v>2569</v>
      </c>
      <c r="C1076" s="4">
        <v>43777</v>
      </c>
      <c r="D1076" s="4"/>
      <c r="E1076" t="s">
        <v>647</v>
      </c>
      <c r="F1076" s="9" t="s">
        <v>4</v>
      </c>
      <c r="G1076" s="10">
        <v>250000</v>
      </c>
    </row>
    <row r="1077" spans="1:7" x14ac:dyDescent="0.35">
      <c r="A1077" s="8" t="s">
        <v>727</v>
      </c>
      <c r="B1077" s="9" t="s">
        <v>2569</v>
      </c>
      <c r="C1077" s="4">
        <v>43777</v>
      </c>
      <c r="D1077" s="4"/>
      <c r="E1077" t="s">
        <v>647</v>
      </c>
      <c r="F1077" s="9" t="s">
        <v>4</v>
      </c>
      <c r="G1077" s="10">
        <v>250000</v>
      </c>
    </row>
    <row r="1078" spans="1:7" x14ac:dyDescent="0.35">
      <c r="A1078" s="8" t="s">
        <v>728</v>
      </c>
      <c r="B1078" s="9" t="s">
        <v>2569</v>
      </c>
      <c r="C1078" s="4">
        <v>43777</v>
      </c>
      <c r="D1078" s="4"/>
      <c r="E1078" t="s">
        <v>647</v>
      </c>
      <c r="F1078" s="9" t="s">
        <v>4</v>
      </c>
      <c r="G1078" s="10">
        <v>250000</v>
      </c>
    </row>
    <row r="1079" spans="1:7" x14ac:dyDescent="0.35">
      <c r="A1079" s="8" t="s">
        <v>716</v>
      </c>
      <c r="B1079" s="9" t="s">
        <v>2569</v>
      </c>
      <c r="C1079" s="4">
        <v>43777</v>
      </c>
      <c r="D1079" s="4"/>
      <c r="E1079" t="s">
        <v>717</v>
      </c>
      <c r="F1079" s="9" t="s">
        <v>4</v>
      </c>
      <c r="G1079" s="10">
        <v>60000</v>
      </c>
    </row>
    <row r="1080" spans="1:7" x14ac:dyDescent="0.35">
      <c r="A1080" s="8" t="s">
        <v>718</v>
      </c>
      <c r="B1080" s="9" t="s">
        <v>2569</v>
      </c>
      <c r="C1080" s="4">
        <v>43777</v>
      </c>
      <c r="D1080" s="4"/>
      <c r="E1080" t="s">
        <v>717</v>
      </c>
      <c r="F1080" s="9" t="s">
        <v>4</v>
      </c>
      <c r="G1080" s="10">
        <v>6500000</v>
      </c>
    </row>
    <row r="1081" spans="1:7" x14ac:dyDescent="0.35">
      <c r="A1081" s="8" t="s">
        <v>2259</v>
      </c>
      <c r="B1081" s="9" t="s">
        <v>2260</v>
      </c>
      <c r="C1081" s="4">
        <v>43782</v>
      </c>
      <c r="D1081" s="4">
        <v>43882</v>
      </c>
      <c r="E1081" t="s">
        <v>2261</v>
      </c>
      <c r="F1081" s="9" t="s">
        <v>5</v>
      </c>
      <c r="G1081" s="10">
        <v>110000</v>
      </c>
    </row>
    <row r="1082" spans="1:7" x14ac:dyDescent="0.35">
      <c r="A1082" s="8" t="s">
        <v>2262</v>
      </c>
      <c r="B1082" s="9" t="s">
        <v>2263</v>
      </c>
      <c r="C1082" s="4">
        <v>43782</v>
      </c>
      <c r="D1082" s="4">
        <v>43882</v>
      </c>
      <c r="E1082" t="s">
        <v>2261</v>
      </c>
      <c r="F1082" s="9" t="s">
        <v>5</v>
      </c>
      <c r="G1082" s="10">
        <v>500000</v>
      </c>
    </row>
    <row r="1083" spans="1:7" x14ac:dyDescent="0.35">
      <c r="A1083" s="8" t="s">
        <v>709</v>
      </c>
      <c r="B1083" s="9" t="s">
        <v>710</v>
      </c>
      <c r="C1083" s="4">
        <v>43782</v>
      </c>
      <c r="D1083" s="4">
        <v>43872</v>
      </c>
      <c r="E1083" t="s">
        <v>706</v>
      </c>
      <c r="F1083" s="9" t="s">
        <v>4</v>
      </c>
      <c r="G1083" s="10">
        <v>62400</v>
      </c>
    </row>
    <row r="1084" spans="1:7" x14ac:dyDescent="0.35">
      <c r="A1084" s="8" t="s">
        <v>704</v>
      </c>
      <c r="B1084" s="9" t="s">
        <v>705</v>
      </c>
      <c r="C1084" s="4">
        <v>43782</v>
      </c>
      <c r="D1084" s="4">
        <v>43872</v>
      </c>
      <c r="E1084" t="s">
        <v>706</v>
      </c>
      <c r="F1084" s="9" t="s">
        <v>4</v>
      </c>
      <c r="G1084" s="10">
        <v>325000</v>
      </c>
    </row>
    <row r="1085" spans="1:7" x14ac:dyDescent="0.35">
      <c r="A1085" s="8" t="s">
        <v>707</v>
      </c>
      <c r="B1085" s="9" t="s">
        <v>708</v>
      </c>
      <c r="C1085" s="4">
        <v>43782</v>
      </c>
      <c r="D1085" s="4">
        <v>43872</v>
      </c>
      <c r="E1085" t="s">
        <v>706</v>
      </c>
      <c r="F1085" s="9" t="s">
        <v>4</v>
      </c>
      <c r="G1085" s="10">
        <v>75000</v>
      </c>
    </row>
    <row r="1086" spans="1:7" x14ac:dyDescent="0.35">
      <c r="A1086" s="8" t="s">
        <v>2264</v>
      </c>
      <c r="B1086" s="9" t="s">
        <v>2265</v>
      </c>
      <c r="C1086" s="4">
        <v>43789</v>
      </c>
      <c r="D1086" s="4">
        <v>43859</v>
      </c>
      <c r="E1086" t="s">
        <v>2266</v>
      </c>
      <c r="F1086" s="9" t="s">
        <v>5</v>
      </c>
      <c r="G1086" s="10">
        <v>100000</v>
      </c>
    </row>
    <row r="1087" spans="1:7" x14ac:dyDescent="0.35">
      <c r="A1087" s="8" t="s">
        <v>2267</v>
      </c>
      <c r="B1087" s="9" t="s">
        <v>2268</v>
      </c>
      <c r="C1087" s="4">
        <v>43789</v>
      </c>
      <c r="D1087" s="4">
        <v>43859</v>
      </c>
      <c r="E1087" t="s">
        <v>2266</v>
      </c>
      <c r="F1087" s="9" t="s">
        <v>5</v>
      </c>
      <c r="G1087" s="10">
        <v>25000</v>
      </c>
    </row>
    <row r="1088" spans="1:7" x14ac:dyDescent="0.35">
      <c r="A1088" s="8" t="s">
        <v>2272</v>
      </c>
      <c r="B1088" s="9" t="s">
        <v>2273</v>
      </c>
      <c r="C1088" s="4">
        <v>43801</v>
      </c>
      <c r="D1088" s="4">
        <v>44105</v>
      </c>
      <c r="E1088" t="s">
        <v>2274</v>
      </c>
      <c r="F1088" s="9" t="s">
        <v>5</v>
      </c>
      <c r="G1088" s="10">
        <v>20000</v>
      </c>
    </row>
    <row r="1089" spans="1:7" x14ac:dyDescent="0.35">
      <c r="A1089" s="8" t="s">
        <v>2275</v>
      </c>
      <c r="B1089" s="9" t="s">
        <v>2569</v>
      </c>
      <c r="C1089" s="4">
        <v>43801</v>
      </c>
      <c r="D1089" s="4"/>
      <c r="E1089" t="s">
        <v>2276</v>
      </c>
      <c r="F1089" s="9" t="s">
        <v>5</v>
      </c>
      <c r="G1089" s="10">
        <v>70000</v>
      </c>
    </row>
    <row r="1090" spans="1:7" x14ac:dyDescent="0.35">
      <c r="A1090" s="8" t="s">
        <v>2277</v>
      </c>
      <c r="B1090" s="9" t="s">
        <v>2569</v>
      </c>
      <c r="C1090" s="4">
        <v>43812</v>
      </c>
      <c r="D1090" s="4"/>
      <c r="E1090" t="s">
        <v>2278</v>
      </c>
      <c r="F1090" s="9" t="s">
        <v>5</v>
      </c>
      <c r="G1090" s="10">
        <v>8400</v>
      </c>
    </row>
    <row r="1091" spans="1:7" x14ac:dyDescent="0.35">
      <c r="A1091" s="8" t="s">
        <v>2279</v>
      </c>
      <c r="B1091" s="9" t="s">
        <v>2569</v>
      </c>
      <c r="C1091" s="4">
        <v>43812</v>
      </c>
      <c r="D1091" s="4"/>
      <c r="E1091" t="s">
        <v>2278</v>
      </c>
      <c r="F1091" s="9" t="s">
        <v>5</v>
      </c>
      <c r="G1091" s="10">
        <v>240000</v>
      </c>
    </row>
    <row r="1092" spans="1:7" x14ac:dyDescent="0.35">
      <c r="A1092" s="8" t="s">
        <v>2280</v>
      </c>
      <c r="B1092" s="9" t="s">
        <v>2281</v>
      </c>
      <c r="C1092" s="4">
        <v>43812</v>
      </c>
      <c r="D1092" s="4">
        <v>43990</v>
      </c>
      <c r="E1092" t="s">
        <v>2282</v>
      </c>
      <c r="F1092" s="9" t="s">
        <v>5</v>
      </c>
      <c r="G1092" s="10">
        <v>5000</v>
      </c>
    </row>
    <row r="1093" spans="1:7" x14ac:dyDescent="0.35">
      <c r="A1093" s="8" t="s">
        <v>2283</v>
      </c>
      <c r="B1093" s="9" t="s">
        <v>2284</v>
      </c>
      <c r="C1093" s="4">
        <v>43812</v>
      </c>
      <c r="D1093" s="4">
        <v>43990</v>
      </c>
      <c r="E1093" t="s">
        <v>2282</v>
      </c>
      <c r="F1093" s="9" t="s">
        <v>5</v>
      </c>
      <c r="G1093" s="10">
        <v>50000</v>
      </c>
    </row>
    <row r="1094" spans="1:7" x14ac:dyDescent="0.35">
      <c r="A1094" s="8" t="s">
        <v>743</v>
      </c>
      <c r="B1094" s="9" t="s">
        <v>2569</v>
      </c>
      <c r="C1094" s="4">
        <v>43812</v>
      </c>
      <c r="D1094" s="4"/>
      <c r="E1094" t="s">
        <v>2536</v>
      </c>
      <c r="F1094" s="9" t="s">
        <v>4</v>
      </c>
      <c r="G1094" s="10">
        <v>60000</v>
      </c>
    </row>
    <row r="1095" spans="1:7" x14ac:dyDescent="0.35">
      <c r="A1095" s="8" t="s">
        <v>744</v>
      </c>
      <c r="B1095" s="9" t="s">
        <v>2569</v>
      </c>
      <c r="C1095" s="4">
        <v>43812</v>
      </c>
      <c r="D1095" s="4"/>
      <c r="E1095" t="s">
        <v>2536</v>
      </c>
      <c r="F1095" s="9" t="s">
        <v>4</v>
      </c>
      <c r="G1095" s="10">
        <v>2020000</v>
      </c>
    </row>
    <row r="1096" spans="1:7" x14ac:dyDescent="0.35">
      <c r="A1096" s="8" t="s">
        <v>2116</v>
      </c>
      <c r="B1096" s="9" t="s">
        <v>2569</v>
      </c>
      <c r="C1096" s="4">
        <v>43816</v>
      </c>
      <c r="D1096" s="4"/>
      <c r="E1096" t="s">
        <v>815</v>
      </c>
      <c r="F1096" s="9" t="s">
        <v>5</v>
      </c>
      <c r="G1096" s="10">
        <v>1807</v>
      </c>
    </row>
    <row r="1097" spans="1:7" x14ac:dyDescent="0.35">
      <c r="A1097" s="8" t="s">
        <v>2117</v>
      </c>
      <c r="B1097" s="9" t="s">
        <v>2569</v>
      </c>
      <c r="C1097" s="4">
        <v>43816</v>
      </c>
      <c r="D1097" s="4"/>
      <c r="E1097" t="s">
        <v>849</v>
      </c>
      <c r="F1097" s="9" t="s">
        <v>5</v>
      </c>
      <c r="G1097" s="10">
        <v>2607</v>
      </c>
    </row>
    <row r="1098" spans="1:7" x14ac:dyDescent="0.35">
      <c r="A1098" s="8" t="s">
        <v>2114</v>
      </c>
      <c r="B1098" s="9" t="s">
        <v>2115</v>
      </c>
      <c r="C1098" s="4">
        <v>43816</v>
      </c>
      <c r="D1098" s="4">
        <v>43868</v>
      </c>
      <c r="E1098" t="s">
        <v>802</v>
      </c>
      <c r="F1098" s="9" t="s">
        <v>5</v>
      </c>
      <c r="G1098" s="10">
        <v>8756</v>
      </c>
    </row>
    <row r="1099" spans="1:7" x14ac:dyDescent="0.35">
      <c r="A1099" s="8" t="s">
        <v>2118</v>
      </c>
      <c r="B1099" s="9" t="s">
        <v>2119</v>
      </c>
      <c r="C1099" s="4">
        <v>43816</v>
      </c>
      <c r="D1099" s="4">
        <v>43888</v>
      </c>
      <c r="E1099" t="s">
        <v>807</v>
      </c>
      <c r="F1099" s="9" t="s">
        <v>5</v>
      </c>
      <c r="G1099" s="10">
        <v>5997</v>
      </c>
    </row>
    <row r="1100" spans="1:7" x14ac:dyDescent="0.35">
      <c r="A1100" s="8" t="s">
        <v>2287</v>
      </c>
      <c r="B1100" s="9" t="s">
        <v>2569</v>
      </c>
      <c r="C1100" s="4">
        <v>43818</v>
      </c>
      <c r="D1100" s="4"/>
      <c r="E1100" t="s">
        <v>2286</v>
      </c>
      <c r="F1100" s="9" t="s">
        <v>5</v>
      </c>
      <c r="G1100" s="10">
        <v>100000</v>
      </c>
    </row>
    <row r="1101" spans="1:7" x14ac:dyDescent="0.35">
      <c r="A1101" s="8" t="s">
        <v>2285</v>
      </c>
      <c r="B1101" s="9" t="s">
        <v>2569</v>
      </c>
      <c r="C1101" s="4">
        <v>43818</v>
      </c>
      <c r="D1101" s="4"/>
      <c r="E1101" t="s">
        <v>2286</v>
      </c>
      <c r="F1101" s="9" t="s">
        <v>5</v>
      </c>
      <c r="G1101" s="10">
        <v>96926</v>
      </c>
    </row>
    <row r="1102" spans="1:7" x14ac:dyDescent="0.35">
      <c r="A1102" s="8" t="s">
        <v>2288</v>
      </c>
      <c r="B1102" s="9" t="s">
        <v>2569</v>
      </c>
      <c r="C1102" s="4">
        <v>43818</v>
      </c>
      <c r="D1102" s="4"/>
      <c r="E1102" t="s">
        <v>2291</v>
      </c>
      <c r="F1102" s="9" t="s">
        <v>5</v>
      </c>
      <c r="G1102" s="10">
        <v>20000</v>
      </c>
    </row>
    <row r="1103" spans="1:7" x14ac:dyDescent="0.35">
      <c r="A1103" s="8" t="s">
        <v>2290</v>
      </c>
      <c r="B1103" s="9" t="s">
        <v>2569</v>
      </c>
      <c r="C1103" s="4">
        <v>43818</v>
      </c>
      <c r="D1103" s="4"/>
      <c r="E1103" t="s">
        <v>2291</v>
      </c>
      <c r="F1103" s="9" t="s">
        <v>5</v>
      </c>
      <c r="G1103" s="10">
        <v>50000</v>
      </c>
    </row>
    <row r="1104" spans="1:7" x14ac:dyDescent="0.35">
      <c r="A1104" s="8" t="s">
        <v>2292</v>
      </c>
      <c r="B1104" s="9" t="s">
        <v>2293</v>
      </c>
      <c r="C1104" s="4">
        <v>43818</v>
      </c>
      <c r="D1104" s="4">
        <v>43980</v>
      </c>
      <c r="E1104" t="s">
        <v>2294</v>
      </c>
      <c r="F1104" s="9" t="s">
        <v>5</v>
      </c>
      <c r="G1104" s="10">
        <v>5000</v>
      </c>
    </row>
    <row r="1105" spans="1:7" x14ac:dyDescent="0.35">
      <c r="A1105" s="8" t="s">
        <v>2297</v>
      </c>
      <c r="B1105" s="9" t="s">
        <v>2569</v>
      </c>
      <c r="C1105" s="4">
        <v>43822</v>
      </c>
      <c r="D1105" s="4"/>
      <c r="E1105" t="s">
        <v>2296</v>
      </c>
      <c r="F1105" s="9" t="s">
        <v>5</v>
      </c>
      <c r="G1105" s="10">
        <v>64000</v>
      </c>
    </row>
    <row r="1106" spans="1:7" x14ac:dyDescent="0.35">
      <c r="A1106" s="8" t="s">
        <v>2295</v>
      </c>
      <c r="B1106" s="9" t="s">
        <v>2569</v>
      </c>
      <c r="C1106" s="4">
        <v>43822</v>
      </c>
      <c r="D1106" s="4"/>
      <c r="E1106" t="s">
        <v>2296</v>
      </c>
      <c r="F1106" s="9" t="s">
        <v>5</v>
      </c>
      <c r="G1106" s="10">
        <v>90000</v>
      </c>
    </row>
    <row r="1107" spans="1:7" x14ac:dyDescent="0.35">
      <c r="A1107" s="8" t="s">
        <v>2298</v>
      </c>
      <c r="B1107" s="9" t="s">
        <v>2569</v>
      </c>
      <c r="C1107" s="4">
        <v>43843</v>
      </c>
      <c r="D1107" s="4"/>
      <c r="E1107" t="s">
        <v>2570</v>
      </c>
      <c r="F1107" s="9" t="s">
        <v>5</v>
      </c>
      <c r="G1107" s="10">
        <v>8000</v>
      </c>
    </row>
    <row r="1108" spans="1:7" x14ac:dyDescent="0.35">
      <c r="A1108" s="8" t="s">
        <v>2299</v>
      </c>
      <c r="B1108" s="9" t="s">
        <v>2569</v>
      </c>
      <c r="C1108" s="4">
        <v>43843</v>
      </c>
      <c r="D1108" s="4"/>
      <c r="E1108" t="s">
        <v>2570</v>
      </c>
      <c r="F1108" s="9" t="s">
        <v>5</v>
      </c>
      <c r="G1108" s="10">
        <v>242000</v>
      </c>
    </row>
    <row r="1109" spans="1:7" x14ac:dyDescent="0.35">
      <c r="A1109" s="8" t="s">
        <v>2300</v>
      </c>
      <c r="B1109" s="9" t="s">
        <v>2569</v>
      </c>
      <c r="C1109" s="4">
        <v>43843</v>
      </c>
      <c r="D1109" s="4"/>
      <c r="E1109" t="s">
        <v>2301</v>
      </c>
      <c r="F1109" s="9" t="s">
        <v>5</v>
      </c>
      <c r="G1109" s="10">
        <v>44000</v>
      </c>
    </row>
    <row r="1110" spans="1:7" x14ac:dyDescent="0.35">
      <c r="A1110" s="8" t="s">
        <v>2302</v>
      </c>
      <c r="B1110" s="9" t="s">
        <v>2569</v>
      </c>
      <c r="C1110" s="4">
        <v>43843</v>
      </c>
      <c r="D1110" s="4"/>
      <c r="E1110" t="s">
        <v>2301</v>
      </c>
      <c r="F1110" s="9" t="s">
        <v>5</v>
      </c>
      <c r="G1110" s="10">
        <v>81250</v>
      </c>
    </row>
    <row r="1111" spans="1:7" x14ac:dyDescent="0.35">
      <c r="A1111" s="8" t="s">
        <v>2166</v>
      </c>
      <c r="B1111" s="9" t="s">
        <v>2167</v>
      </c>
      <c r="C1111" s="4">
        <v>43843</v>
      </c>
      <c r="D1111" s="4">
        <v>44012</v>
      </c>
      <c r="E1111" t="s">
        <v>1324</v>
      </c>
      <c r="F1111" s="9" t="s">
        <v>5</v>
      </c>
      <c r="G1111" s="10">
        <v>80000</v>
      </c>
    </row>
    <row r="1112" spans="1:7" x14ac:dyDescent="0.35">
      <c r="A1112" s="8" t="s">
        <v>2168</v>
      </c>
      <c r="B1112" s="9" t="s">
        <v>2169</v>
      </c>
      <c r="C1112" s="4">
        <v>43843</v>
      </c>
      <c r="D1112" s="4">
        <v>44006</v>
      </c>
      <c r="E1112" t="s">
        <v>1324</v>
      </c>
      <c r="F1112" s="9" t="s">
        <v>5</v>
      </c>
      <c r="G1112" s="10">
        <v>150000</v>
      </c>
    </row>
    <row r="1113" spans="1:7" x14ac:dyDescent="0.35">
      <c r="A1113" s="8" t="s">
        <v>2303</v>
      </c>
      <c r="B1113" s="9" t="s">
        <v>2569</v>
      </c>
      <c r="C1113" s="4">
        <v>43843</v>
      </c>
      <c r="D1113" s="4"/>
      <c r="E1113" t="s">
        <v>2304</v>
      </c>
      <c r="F1113" s="9" t="s">
        <v>5</v>
      </c>
      <c r="G1113" s="10">
        <v>19200</v>
      </c>
    </row>
    <row r="1114" spans="1:7" x14ac:dyDescent="0.35">
      <c r="A1114" s="8" t="s">
        <v>2305</v>
      </c>
      <c r="B1114" s="9" t="s">
        <v>2306</v>
      </c>
      <c r="C1114" s="4">
        <v>43843</v>
      </c>
      <c r="D1114" s="4">
        <v>44001</v>
      </c>
      <c r="E1114" t="s">
        <v>1405</v>
      </c>
      <c r="F1114" s="9" t="s">
        <v>5</v>
      </c>
      <c r="G1114" s="10">
        <v>4585</v>
      </c>
    </row>
    <row r="1115" spans="1:7" x14ac:dyDescent="0.35">
      <c r="A1115" s="8" t="s">
        <v>2307</v>
      </c>
      <c r="B1115" s="9" t="s">
        <v>2308</v>
      </c>
      <c r="C1115" s="4">
        <v>43843</v>
      </c>
      <c r="D1115" s="4">
        <v>44001</v>
      </c>
      <c r="E1115" t="s">
        <v>1405</v>
      </c>
      <c r="F1115" s="9" t="s">
        <v>5</v>
      </c>
      <c r="G1115" s="10">
        <v>24995</v>
      </c>
    </row>
    <row r="1116" spans="1:7" x14ac:dyDescent="0.35">
      <c r="A1116" s="8" t="s">
        <v>2309</v>
      </c>
      <c r="B1116" s="9" t="s">
        <v>2310</v>
      </c>
      <c r="C1116" s="4">
        <v>43843</v>
      </c>
      <c r="D1116" s="4">
        <v>44001</v>
      </c>
      <c r="E1116" t="s">
        <v>1405</v>
      </c>
      <c r="F1116" s="9" t="s">
        <v>5</v>
      </c>
      <c r="G1116" s="10">
        <v>139500</v>
      </c>
    </row>
    <row r="1117" spans="1:7" x14ac:dyDescent="0.35">
      <c r="A1117" s="8" t="s">
        <v>2311</v>
      </c>
      <c r="B1117" s="9" t="s">
        <v>2312</v>
      </c>
      <c r="C1117" s="4">
        <v>43843</v>
      </c>
      <c r="D1117" s="4">
        <v>44029</v>
      </c>
      <c r="E1117" t="s">
        <v>2313</v>
      </c>
      <c r="F1117" s="9" t="s">
        <v>5</v>
      </c>
      <c r="G1117" s="10">
        <v>6500</v>
      </c>
    </row>
    <row r="1118" spans="1:7" x14ac:dyDescent="0.35">
      <c r="A1118" s="8" t="s">
        <v>2314</v>
      </c>
      <c r="B1118" s="9" t="s">
        <v>2569</v>
      </c>
      <c r="C1118" s="4">
        <v>43843</v>
      </c>
      <c r="D1118" s="4"/>
      <c r="E1118" t="s">
        <v>2313</v>
      </c>
      <c r="F1118" s="9" t="s">
        <v>5</v>
      </c>
      <c r="G1118" s="10">
        <v>150000</v>
      </c>
    </row>
    <row r="1119" spans="1:7" x14ac:dyDescent="0.35">
      <c r="A1119" s="8" t="s">
        <v>2315</v>
      </c>
      <c r="B1119" s="9" t="s">
        <v>2569</v>
      </c>
      <c r="C1119" s="4">
        <v>43843</v>
      </c>
      <c r="D1119" s="4"/>
      <c r="E1119" t="s">
        <v>2316</v>
      </c>
      <c r="F1119" s="9" t="s">
        <v>5</v>
      </c>
      <c r="G1119" s="10">
        <v>30000</v>
      </c>
    </row>
    <row r="1120" spans="1:7" x14ac:dyDescent="0.35">
      <c r="A1120" s="8" t="s">
        <v>2317</v>
      </c>
      <c r="B1120" s="9" t="s">
        <v>2569</v>
      </c>
      <c r="C1120" s="4">
        <v>43843</v>
      </c>
      <c r="D1120" s="4"/>
      <c r="E1120" t="s">
        <v>2316</v>
      </c>
      <c r="F1120" s="9" t="s">
        <v>5</v>
      </c>
      <c r="G1120" s="10">
        <v>20000</v>
      </c>
    </row>
    <row r="1121" spans="1:7" x14ac:dyDescent="0.35">
      <c r="A1121" s="8" t="s">
        <v>745</v>
      </c>
      <c r="B1121" s="9" t="s">
        <v>2569</v>
      </c>
      <c r="C1121" s="4">
        <v>43846</v>
      </c>
      <c r="D1121" s="4"/>
      <c r="E1121" t="s">
        <v>746</v>
      </c>
      <c r="F1121" s="9" t="s">
        <v>4</v>
      </c>
      <c r="G1121" s="10">
        <v>600000</v>
      </c>
    </row>
    <row r="1122" spans="1:7" x14ac:dyDescent="0.35">
      <c r="A1122" s="8" t="s">
        <v>747</v>
      </c>
      <c r="B1122" s="9" t="s">
        <v>2569</v>
      </c>
      <c r="C1122" s="4">
        <v>43846</v>
      </c>
      <c r="D1122" s="4"/>
      <c r="E1122" t="s">
        <v>746</v>
      </c>
      <c r="F1122" s="9" t="s">
        <v>4</v>
      </c>
      <c r="G1122" s="10">
        <v>300000</v>
      </c>
    </row>
    <row r="1123" spans="1:7" x14ac:dyDescent="0.35">
      <c r="A1123" s="8" t="s">
        <v>748</v>
      </c>
      <c r="B1123" s="9" t="s">
        <v>2569</v>
      </c>
      <c r="C1123" s="4">
        <v>43851</v>
      </c>
      <c r="D1123" s="4"/>
      <c r="E1123" t="s">
        <v>673</v>
      </c>
      <c r="F1123" s="9" t="s">
        <v>4</v>
      </c>
      <c r="G1123" s="10">
        <v>2500000</v>
      </c>
    </row>
    <row r="1124" spans="1:7" x14ac:dyDescent="0.35">
      <c r="A1124" s="8" t="s">
        <v>2318</v>
      </c>
      <c r="B1124" s="9" t="s">
        <v>2319</v>
      </c>
      <c r="C1124" s="4">
        <v>43851</v>
      </c>
      <c r="D1124" s="4">
        <v>44010</v>
      </c>
      <c r="E1124" t="s">
        <v>1279</v>
      </c>
      <c r="F1124" s="9" t="s">
        <v>5</v>
      </c>
      <c r="G1124" s="10">
        <v>24000</v>
      </c>
    </row>
    <row r="1125" spans="1:7" x14ac:dyDescent="0.35">
      <c r="A1125" s="8" t="s">
        <v>2320</v>
      </c>
      <c r="B1125" s="9" t="s">
        <v>2321</v>
      </c>
      <c r="C1125" s="4">
        <v>43851</v>
      </c>
      <c r="D1125" s="4">
        <v>44027</v>
      </c>
      <c r="E1125" t="s">
        <v>1279</v>
      </c>
      <c r="F1125" s="9" t="s">
        <v>5</v>
      </c>
      <c r="G1125" s="10">
        <v>153005</v>
      </c>
    </row>
    <row r="1126" spans="1:7" x14ac:dyDescent="0.35">
      <c r="A1126" s="8" t="s">
        <v>749</v>
      </c>
      <c r="B1126" s="9" t="s">
        <v>2569</v>
      </c>
      <c r="C1126" s="4">
        <v>43859</v>
      </c>
      <c r="D1126" s="4"/>
      <c r="E1126" t="s">
        <v>750</v>
      </c>
      <c r="F1126" s="9" t="s">
        <v>4</v>
      </c>
      <c r="G1126" s="10">
        <v>696000</v>
      </c>
    </row>
    <row r="1127" spans="1:7" x14ac:dyDescent="0.35">
      <c r="A1127" s="8" t="s">
        <v>751</v>
      </c>
      <c r="B1127" s="9" t="s">
        <v>2569</v>
      </c>
      <c r="C1127" s="4">
        <v>43859</v>
      </c>
      <c r="D1127" s="4"/>
      <c r="E1127" t="s">
        <v>750</v>
      </c>
      <c r="F1127" s="9" t="s">
        <v>4</v>
      </c>
      <c r="G1127" s="10">
        <v>1500000</v>
      </c>
    </row>
    <row r="1128" spans="1:7" x14ac:dyDescent="0.35">
      <c r="A1128" s="8" t="s">
        <v>752</v>
      </c>
      <c r="B1128" s="9" t="s">
        <v>2569</v>
      </c>
      <c r="C1128" s="4">
        <v>43859</v>
      </c>
      <c r="D1128" s="4"/>
      <c r="E1128" t="s">
        <v>1315</v>
      </c>
      <c r="F1128" s="9" t="s">
        <v>4</v>
      </c>
      <c r="G1128" s="10">
        <v>802500</v>
      </c>
    </row>
    <row r="1129" spans="1:7" x14ac:dyDescent="0.35">
      <c r="A1129" s="8" t="s">
        <v>753</v>
      </c>
      <c r="B1129" s="9" t="s">
        <v>2569</v>
      </c>
      <c r="C1129" s="4">
        <v>43859</v>
      </c>
      <c r="D1129" s="4"/>
      <c r="E1129" t="s">
        <v>1315</v>
      </c>
      <c r="F1129" s="9" t="s">
        <v>4</v>
      </c>
      <c r="G1129" s="10">
        <v>200000</v>
      </c>
    </row>
    <row r="1130" spans="1:7" x14ac:dyDescent="0.35">
      <c r="A1130" s="8" t="s">
        <v>763</v>
      </c>
      <c r="B1130" s="9" t="s">
        <v>764</v>
      </c>
      <c r="C1130" s="4">
        <v>43861</v>
      </c>
      <c r="D1130" s="4">
        <v>44012</v>
      </c>
      <c r="E1130" t="s">
        <v>765</v>
      </c>
      <c r="F1130" s="9" t="s">
        <v>4</v>
      </c>
      <c r="G1130" s="10">
        <v>184114</v>
      </c>
    </row>
    <row r="1131" spans="1:7" x14ac:dyDescent="0.35">
      <c r="A1131" s="8" t="s">
        <v>766</v>
      </c>
      <c r="B1131" s="9" t="s">
        <v>767</v>
      </c>
      <c r="C1131" s="4">
        <v>43867</v>
      </c>
      <c r="D1131" s="4">
        <v>44006</v>
      </c>
      <c r="E1131" t="s">
        <v>768</v>
      </c>
      <c r="F1131" s="9" t="s">
        <v>4</v>
      </c>
      <c r="G1131" s="10">
        <v>2100000</v>
      </c>
    </row>
    <row r="1132" spans="1:7" x14ac:dyDescent="0.35">
      <c r="A1132" s="8" t="s">
        <v>2120</v>
      </c>
      <c r="B1132" s="9" t="s">
        <v>2121</v>
      </c>
      <c r="C1132" s="4">
        <v>43879</v>
      </c>
      <c r="D1132" s="4">
        <v>44010</v>
      </c>
      <c r="E1132" t="s">
        <v>786</v>
      </c>
      <c r="F1132" s="9" t="s">
        <v>5</v>
      </c>
      <c r="G1132" s="10">
        <v>5549</v>
      </c>
    </row>
    <row r="1133" spans="1:7" x14ac:dyDescent="0.35">
      <c r="A1133" s="8" t="s">
        <v>2122</v>
      </c>
      <c r="B1133" s="9" t="s">
        <v>2123</v>
      </c>
      <c r="C1133" s="4">
        <v>43879</v>
      </c>
      <c r="D1133" s="4">
        <v>44074</v>
      </c>
      <c r="E1133" t="s">
        <v>786</v>
      </c>
      <c r="F1133" s="9" t="s">
        <v>5</v>
      </c>
      <c r="G1133" s="10">
        <v>7471</v>
      </c>
    </row>
    <row r="1134" spans="1:7" x14ac:dyDescent="0.35">
      <c r="A1134" s="8" t="s">
        <v>2127</v>
      </c>
      <c r="B1134" s="9" t="s">
        <v>2128</v>
      </c>
      <c r="C1134" s="4">
        <v>43879</v>
      </c>
      <c r="D1134" s="4">
        <v>43999</v>
      </c>
      <c r="E1134" t="s">
        <v>799</v>
      </c>
      <c r="F1134" s="9" t="s">
        <v>5</v>
      </c>
      <c r="G1134" s="10">
        <v>9867</v>
      </c>
    </row>
    <row r="1135" spans="1:7" x14ac:dyDescent="0.35">
      <c r="A1135" s="8" t="s">
        <v>2124</v>
      </c>
      <c r="B1135" s="9" t="s">
        <v>2125</v>
      </c>
      <c r="C1135" s="4">
        <v>43879</v>
      </c>
      <c r="D1135" s="4">
        <v>43999</v>
      </c>
      <c r="E1135" t="s">
        <v>774</v>
      </c>
      <c r="F1135" s="9" t="s">
        <v>5</v>
      </c>
      <c r="G1135" s="10">
        <v>15015</v>
      </c>
    </row>
    <row r="1136" spans="1:7" x14ac:dyDescent="0.35">
      <c r="A1136" s="8" t="s">
        <v>2126</v>
      </c>
      <c r="B1136" s="9" t="s">
        <v>2569</v>
      </c>
      <c r="C1136" s="4">
        <v>43879</v>
      </c>
      <c r="D1136" s="4"/>
      <c r="E1136" t="s">
        <v>807</v>
      </c>
      <c r="F1136" s="9" t="s">
        <v>5</v>
      </c>
      <c r="G1136" s="10">
        <v>5157</v>
      </c>
    </row>
    <row r="1137" spans="1:7" x14ac:dyDescent="0.35">
      <c r="A1137" s="8" t="s">
        <v>762</v>
      </c>
      <c r="B1137" s="9" t="s">
        <v>2569</v>
      </c>
      <c r="C1137" s="4">
        <v>43903</v>
      </c>
      <c r="D1137" s="4"/>
      <c r="E1137" t="s">
        <v>761</v>
      </c>
      <c r="F1137" s="9" t="s">
        <v>4</v>
      </c>
      <c r="G1137" s="10">
        <v>1738000</v>
      </c>
    </row>
    <row r="1138" spans="1:7" x14ac:dyDescent="0.35">
      <c r="A1138" s="8" t="s">
        <v>760</v>
      </c>
      <c r="B1138" s="9" t="s">
        <v>2569</v>
      </c>
      <c r="C1138" s="4">
        <v>43903</v>
      </c>
      <c r="D1138" s="4"/>
      <c r="E1138" t="s">
        <v>761</v>
      </c>
      <c r="F1138" s="9" t="s">
        <v>4</v>
      </c>
      <c r="G1138" s="10">
        <v>6000000</v>
      </c>
    </row>
    <row r="1139" spans="1:7" x14ac:dyDescent="0.35">
      <c r="A1139" s="8" t="s">
        <v>2170</v>
      </c>
      <c r="B1139" s="9" t="s">
        <v>2569</v>
      </c>
      <c r="C1139" s="4">
        <v>43903</v>
      </c>
      <c r="D1139" s="4"/>
      <c r="E1139" t="s">
        <v>2171</v>
      </c>
      <c r="F1139" s="9" t="s">
        <v>5</v>
      </c>
      <c r="G1139" s="10">
        <v>45000</v>
      </c>
    </row>
    <row r="1140" spans="1:7" x14ac:dyDescent="0.35">
      <c r="A1140" s="8" t="s">
        <v>2323</v>
      </c>
      <c r="B1140" s="9" t="s">
        <v>2324</v>
      </c>
      <c r="C1140" s="4">
        <v>43920</v>
      </c>
      <c r="D1140" s="4">
        <v>43920</v>
      </c>
      <c r="E1140" t="s">
        <v>382</v>
      </c>
      <c r="F1140" s="9" t="s">
        <v>2325</v>
      </c>
      <c r="G1140" s="10">
        <v>50000000</v>
      </c>
    </row>
    <row r="1141" spans="1:7" x14ac:dyDescent="0.35">
      <c r="A1141" s="8" t="s">
        <v>769</v>
      </c>
      <c r="B1141" s="9" t="s">
        <v>770</v>
      </c>
      <c r="C1141" s="4">
        <v>43964</v>
      </c>
      <c r="D1141" s="4">
        <v>44084</v>
      </c>
      <c r="E1141" t="s">
        <v>406</v>
      </c>
      <c r="F1141" s="9" t="s">
        <v>4</v>
      </c>
      <c r="G1141" s="10">
        <v>1436000</v>
      </c>
    </row>
    <row r="1142" spans="1:7" x14ac:dyDescent="0.35">
      <c r="A1142" s="8" t="s">
        <v>2133</v>
      </c>
      <c r="B1142" s="9" t="s">
        <v>2134</v>
      </c>
      <c r="C1142" s="4">
        <v>43993</v>
      </c>
      <c r="D1142" s="4">
        <v>44015</v>
      </c>
      <c r="E1142" t="s">
        <v>780</v>
      </c>
      <c r="F1142" s="9" t="s">
        <v>5</v>
      </c>
      <c r="G1142" s="10">
        <v>757</v>
      </c>
    </row>
    <row r="1143" spans="1:7" x14ac:dyDescent="0.35">
      <c r="A1143" s="8" t="s">
        <v>2131</v>
      </c>
      <c r="B1143" s="9" t="s">
        <v>2132</v>
      </c>
      <c r="C1143" s="4">
        <v>43993</v>
      </c>
      <c r="D1143" s="4">
        <v>44020</v>
      </c>
      <c r="E1143" t="s">
        <v>780</v>
      </c>
      <c r="F1143" s="9" t="s">
        <v>5</v>
      </c>
      <c r="G1143" s="10">
        <v>1345</v>
      </c>
    </row>
    <row r="1144" spans="1:7" x14ac:dyDescent="0.35">
      <c r="A1144" s="8" t="s">
        <v>2135</v>
      </c>
      <c r="B1144" s="9" t="s">
        <v>2136</v>
      </c>
      <c r="C1144" s="4">
        <v>43993</v>
      </c>
      <c r="D1144" s="4">
        <v>44074</v>
      </c>
      <c r="E1144" t="s">
        <v>802</v>
      </c>
      <c r="F1144" s="9" t="s">
        <v>5</v>
      </c>
      <c r="G1144" s="10">
        <v>14533.97</v>
      </c>
    </row>
    <row r="1145" spans="1:7" x14ac:dyDescent="0.35">
      <c r="A1145" s="8" t="s">
        <v>2137</v>
      </c>
      <c r="B1145" s="9" t="s">
        <v>2138</v>
      </c>
      <c r="C1145" s="4">
        <v>43993</v>
      </c>
      <c r="D1145" s="4">
        <v>44029</v>
      </c>
      <c r="E1145" t="s">
        <v>846</v>
      </c>
      <c r="F1145" s="9" t="s">
        <v>5</v>
      </c>
      <c r="G1145" s="10">
        <v>53291</v>
      </c>
    </row>
    <row r="1146" spans="1:7" x14ac:dyDescent="0.35">
      <c r="A1146" s="8" t="s">
        <v>2141</v>
      </c>
      <c r="B1146" s="9" t="s">
        <v>2142</v>
      </c>
      <c r="C1146" s="4">
        <v>43993</v>
      </c>
      <c r="D1146" s="4">
        <v>44054</v>
      </c>
      <c r="E1146" t="s">
        <v>846</v>
      </c>
      <c r="F1146" s="9" t="s">
        <v>5</v>
      </c>
      <c r="G1146" s="10">
        <v>1816</v>
      </c>
    </row>
    <row r="1147" spans="1:7" x14ac:dyDescent="0.35">
      <c r="A1147" s="8" t="s">
        <v>2143</v>
      </c>
      <c r="B1147" s="9" t="s">
        <v>2144</v>
      </c>
      <c r="C1147" s="4">
        <v>43993</v>
      </c>
      <c r="D1147" s="4">
        <v>44010</v>
      </c>
      <c r="E1147" t="s">
        <v>1621</v>
      </c>
      <c r="F1147" s="9" t="s">
        <v>5</v>
      </c>
      <c r="G1147" s="10">
        <v>79615</v>
      </c>
    </row>
    <row r="1148" spans="1:7" x14ac:dyDescent="0.35">
      <c r="A1148" s="8" t="s">
        <v>2139</v>
      </c>
      <c r="B1148" s="9" t="s">
        <v>2140</v>
      </c>
      <c r="C1148" s="4">
        <v>43993</v>
      </c>
      <c r="D1148" s="4">
        <v>44010</v>
      </c>
      <c r="E1148" t="s">
        <v>1621</v>
      </c>
      <c r="F1148" s="9" t="s">
        <v>5</v>
      </c>
      <c r="G1148" s="10">
        <v>9464.4500000000007</v>
      </c>
    </row>
    <row r="1149" spans="1:7" x14ac:dyDescent="0.35">
      <c r="A1149" s="8" t="s">
        <v>2129</v>
      </c>
      <c r="B1149" s="9" t="s">
        <v>2130</v>
      </c>
      <c r="C1149" s="4">
        <v>44010</v>
      </c>
      <c r="D1149" s="4">
        <v>44022</v>
      </c>
      <c r="E1149" t="s">
        <v>791</v>
      </c>
      <c r="F1149" s="9" t="s">
        <v>5</v>
      </c>
      <c r="G1149" s="10">
        <v>31861</v>
      </c>
    </row>
    <row r="1150" spans="1:7" x14ac:dyDescent="0.35">
      <c r="A1150" s="8" t="s">
        <v>2155</v>
      </c>
      <c r="B1150" s="9" t="s">
        <v>2156</v>
      </c>
      <c r="C1150" s="4">
        <v>44010</v>
      </c>
      <c r="D1150" s="4">
        <v>44062</v>
      </c>
      <c r="E1150" t="s">
        <v>791</v>
      </c>
      <c r="F1150" s="9" t="s">
        <v>5</v>
      </c>
      <c r="G1150" s="10">
        <v>36198</v>
      </c>
    </row>
    <row r="1151" spans="1:7" x14ac:dyDescent="0.35">
      <c r="A1151" s="8" t="s">
        <v>2157</v>
      </c>
      <c r="B1151" s="9" t="s">
        <v>2158</v>
      </c>
      <c r="C1151" s="4">
        <v>44010</v>
      </c>
      <c r="D1151" s="4">
        <v>44062</v>
      </c>
      <c r="E1151" t="s">
        <v>791</v>
      </c>
      <c r="F1151" s="9" t="s">
        <v>5</v>
      </c>
      <c r="G1151" s="10">
        <v>22027</v>
      </c>
    </row>
    <row r="1152" spans="1:7" x14ac:dyDescent="0.35">
      <c r="A1152" s="8" t="s">
        <v>2153</v>
      </c>
      <c r="B1152" s="9" t="s">
        <v>2154</v>
      </c>
      <c r="C1152" s="4">
        <v>44010</v>
      </c>
      <c r="D1152" s="4">
        <v>44074</v>
      </c>
      <c r="E1152" t="s">
        <v>786</v>
      </c>
      <c r="F1152" s="9" t="s">
        <v>5</v>
      </c>
      <c r="G1152" s="10">
        <v>4993</v>
      </c>
    </row>
    <row r="1153" spans="1:7" x14ac:dyDescent="0.35">
      <c r="A1153" s="8" t="s">
        <v>2145</v>
      </c>
      <c r="B1153" s="9" t="s">
        <v>2146</v>
      </c>
      <c r="C1153" s="4">
        <v>44010</v>
      </c>
      <c r="D1153" s="4">
        <v>44074</v>
      </c>
      <c r="E1153" t="s">
        <v>802</v>
      </c>
      <c r="F1153" s="9" t="s">
        <v>5</v>
      </c>
      <c r="G1153" s="10">
        <v>3105</v>
      </c>
    </row>
    <row r="1154" spans="1:7" x14ac:dyDescent="0.35">
      <c r="A1154" s="8" t="s">
        <v>2151</v>
      </c>
      <c r="B1154" s="9" t="s">
        <v>2152</v>
      </c>
      <c r="C1154" s="4">
        <v>44010</v>
      </c>
      <c r="D1154" s="4">
        <v>44054</v>
      </c>
      <c r="E1154" t="s">
        <v>846</v>
      </c>
      <c r="F1154" s="9" t="s">
        <v>5</v>
      </c>
      <c r="G1154" s="10">
        <v>36476</v>
      </c>
    </row>
    <row r="1155" spans="1:7" x14ac:dyDescent="0.35">
      <c r="A1155" s="8" t="s">
        <v>2148</v>
      </c>
      <c r="B1155" s="9" t="s">
        <v>2149</v>
      </c>
      <c r="C1155" s="4">
        <v>44010</v>
      </c>
      <c r="D1155" s="4">
        <v>44074</v>
      </c>
      <c r="E1155" t="s">
        <v>774</v>
      </c>
      <c r="F1155" s="9" t="s">
        <v>5</v>
      </c>
      <c r="G1155" s="10">
        <v>11553</v>
      </c>
    </row>
    <row r="1156" spans="1:7" x14ac:dyDescent="0.35">
      <c r="A1156" s="8" t="s">
        <v>2148</v>
      </c>
      <c r="B1156" s="9" t="s">
        <v>2150</v>
      </c>
      <c r="C1156" s="4">
        <v>44010</v>
      </c>
      <c r="D1156" s="4">
        <v>44074</v>
      </c>
      <c r="E1156" t="s">
        <v>774</v>
      </c>
      <c r="F1156" s="9" t="s">
        <v>5</v>
      </c>
      <c r="G1156" s="10">
        <v>11553</v>
      </c>
    </row>
    <row r="1157" spans="1:7" x14ac:dyDescent="0.35">
      <c r="A1157" s="8" t="s">
        <v>2147</v>
      </c>
      <c r="B1157" s="9" t="s">
        <v>2569</v>
      </c>
      <c r="C1157" s="4">
        <v>44010</v>
      </c>
      <c r="D1157" s="4"/>
      <c r="E1157" t="s">
        <v>807</v>
      </c>
      <c r="F1157" s="9" t="s">
        <v>5</v>
      </c>
      <c r="G1157" s="10">
        <v>2091</v>
      </c>
    </row>
    <row r="1158" spans="1:7" x14ac:dyDescent="0.35">
      <c r="A1158" s="8" t="s">
        <v>771</v>
      </c>
      <c r="B1158" s="9" t="s">
        <v>2569</v>
      </c>
      <c r="C1158" s="4">
        <v>44013</v>
      </c>
      <c r="D1158" s="4"/>
      <c r="E1158" t="s">
        <v>2512</v>
      </c>
      <c r="F1158" s="9" t="s">
        <v>4</v>
      </c>
      <c r="G1158" s="10">
        <v>325000</v>
      </c>
    </row>
    <row r="1159" spans="1:7" x14ac:dyDescent="0.35">
      <c r="A1159" s="8" t="s">
        <v>2326</v>
      </c>
      <c r="B1159" s="9" t="s">
        <v>2327</v>
      </c>
      <c r="C1159" s="4">
        <v>44020</v>
      </c>
      <c r="D1159" s="4">
        <v>44053</v>
      </c>
      <c r="E1159" t="s">
        <v>233</v>
      </c>
      <c r="F1159" s="9" t="s">
        <v>2325</v>
      </c>
      <c r="G1159" s="10">
        <v>435000</v>
      </c>
    </row>
    <row r="1160" spans="1:7" x14ac:dyDescent="0.35">
      <c r="A1160" s="8" t="s">
        <v>2328</v>
      </c>
      <c r="B1160" s="9" t="s">
        <v>2569</v>
      </c>
      <c r="C1160" s="4">
        <v>44025</v>
      </c>
      <c r="D1160" s="4"/>
      <c r="E1160" t="s">
        <v>2329</v>
      </c>
      <c r="F1160" s="9" t="s">
        <v>2325</v>
      </c>
      <c r="G1160" s="10">
        <v>245000</v>
      </c>
    </row>
    <row r="1161" spans="1:7" x14ac:dyDescent="0.35">
      <c r="A1161" s="8" t="s">
        <v>2330</v>
      </c>
      <c r="B1161" s="9" t="s">
        <v>2569</v>
      </c>
      <c r="C1161" s="4">
        <v>44025</v>
      </c>
      <c r="D1161" s="4"/>
      <c r="E1161" t="s">
        <v>2329</v>
      </c>
      <c r="F1161" s="9" t="s">
        <v>2325</v>
      </c>
      <c r="G1161" s="10">
        <v>200000</v>
      </c>
    </row>
    <row r="1162" spans="1:7" x14ac:dyDescent="0.35">
      <c r="A1162" s="8" t="s">
        <v>2331</v>
      </c>
      <c r="B1162" s="9" t="s">
        <v>2332</v>
      </c>
      <c r="C1162" s="4">
        <v>44025</v>
      </c>
      <c r="D1162" s="4">
        <v>44063</v>
      </c>
      <c r="E1162" t="s">
        <v>2333</v>
      </c>
      <c r="F1162" s="9" t="s">
        <v>2325</v>
      </c>
      <c r="G1162" s="10">
        <v>54400</v>
      </c>
    </row>
    <row r="1163" spans="1:7" x14ac:dyDescent="0.35">
      <c r="A1163" s="8" t="s">
        <v>2334</v>
      </c>
      <c r="B1163" s="9" t="s">
        <v>2335</v>
      </c>
      <c r="C1163" s="4">
        <v>44025</v>
      </c>
      <c r="D1163" s="4">
        <v>44063</v>
      </c>
      <c r="E1163" t="s">
        <v>2333</v>
      </c>
      <c r="F1163" s="9" t="s">
        <v>2325</v>
      </c>
      <c r="G1163" s="10">
        <v>1235640</v>
      </c>
    </row>
    <row r="1164" spans="1:7" x14ac:dyDescent="0.35">
      <c r="A1164" s="8" t="s">
        <v>2336</v>
      </c>
      <c r="B1164" s="9" t="s">
        <v>2569</v>
      </c>
      <c r="C1164" s="4">
        <v>44025</v>
      </c>
      <c r="D1164" s="4"/>
      <c r="E1164" s="9" t="s">
        <v>2337</v>
      </c>
      <c r="F1164" s="9" t="s">
        <v>2325</v>
      </c>
      <c r="G1164" s="10">
        <v>430000</v>
      </c>
    </row>
    <row r="1165" spans="1:7" x14ac:dyDescent="0.35">
      <c r="A1165" s="8" t="s">
        <v>2401</v>
      </c>
      <c r="B1165" s="9" t="s">
        <v>2569</v>
      </c>
      <c r="C1165" s="4">
        <v>44025</v>
      </c>
      <c r="D1165" s="4"/>
      <c r="E1165" s="9" t="s">
        <v>2337</v>
      </c>
      <c r="F1165" s="9" t="s">
        <v>2325</v>
      </c>
      <c r="G1165" s="10">
        <v>380000</v>
      </c>
    </row>
    <row r="1166" spans="1:7" x14ac:dyDescent="0.35">
      <c r="A1166" s="8" t="s">
        <v>2345</v>
      </c>
      <c r="B1166" s="9" t="s">
        <v>2346</v>
      </c>
      <c r="C1166" s="4">
        <v>44026</v>
      </c>
      <c r="D1166" s="4">
        <v>44096</v>
      </c>
      <c r="E1166" t="s">
        <v>2347</v>
      </c>
      <c r="F1166" s="9" t="s">
        <v>2325</v>
      </c>
      <c r="G1166" s="10">
        <v>5000</v>
      </c>
    </row>
    <row r="1167" spans="1:7" x14ac:dyDescent="0.35">
      <c r="A1167" s="8" t="s">
        <v>2348</v>
      </c>
      <c r="B1167" s="9" t="s">
        <v>2569</v>
      </c>
      <c r="C1167" s="4">
        <v>44026</v>
      </c>
      <c r="D1167" s="4"/>
      <c r="E1167" t="s">
        <v>2347</v>
      </c>
      <c r="F1167" s="9" t="s">
        <v>2325</v>
      </c>
      <c r="G1167" s="10">
        <v>100000</v>
      </c>
    </row>
    <row r="1168" spans="1:7" x14ac:dyDescent="0.35">
      <c r="A1168" s="8" t="s">
        <v>2349</v>
      </c>
      <c r="B1168" s="9" t="s">
        <v>2569</v>
      </c>
      <c r="C1168" s="4">
        <v>44026</v>
      </c>
      <c r="D1168" s="4"/>
      <c r="E1168" t="s">
        <v>2350</v>
      </c>
      <c r="F1168" s="9" t="s">
        <v>2325</v>
      </c>
      <c r="G1168" s="10">
        <v>16500</v>
      </c>
    </row>
    <row r="1169" spans="1:7" x14ac:dyDescent="0.35">
      <c r="A1169" s="8" t="s">
        <v>2351</v>
      </c>
      <c r="B1169" s="9" t="s">
        <v>2569</v>
      </c>
      <c r="C1169" s="4">
        <v>44026</v>
      </c>
      <c r="D1169" s="4"/>
      <c r="E1169" t="s">
        <v>2350</v>
      </c>
      <c r="F1169" s="9" t="s">
        <v>2325</v>
      </c>
      <c r="G1169" s="10">
        <v>20000</v>
      </c>
    </row>
    <row r="1170" spans="1:7" x14ac:dyDescent="0.35">
      <c r="A1170" s="8" t="s">
        <v>2341</v>
      </c>
      <c r="B1170" s="9" t="s">
        <v>2342</v>
      </c>
      <c r="C1170" s="4">
        <v>44026</v>
      </c>
      <c r="D1170" s="4">
        <v>44035</v>
      </c>
      <c r="E1170" t="s">
        <v>290</v>
      </c>
      <c r="F1170" s="9" t="s">
        <v>2325</v>
      </c>
      <c r="G1170" s="10">
        <v>280000</v>
      </c>
    </row>
    <row r="1171" spans="1:7" x14ac:dyDescent="0.35">
      <c r="A1171" s="8" t="s">
        <v>2343</v>
      </c>
      <c r="B1171" s="9" t="s">
        <v>2344</v>
      </c>
      <c r="C1171" s="4">
        <v>44026</v>
      </c>
      <c r="D1171" s="4">
        <v>44035</v>
      </c>
      <c r="E1171" t="s">
        <v>290</v>
      </c>
      <c r="F1171" s="9" t="s">
        <v>2325</v>
      </c>
      <c r="G1171" s="10">
        <v>7381750</v>
      </c>
    </row>
    <row r="1172" spans="1:7" x14ac:dyDescent="0.35">
      <c r="A1172" s="8" t="s">
        <v>2352</v>
      </c>
      <c r="B1172" s="9" t="s">
        <v>2569</v>
      </c>
      <c r="C1172" s="4">
        <v>44026</v>
      </c>
      <c r="D1172" s="4"/>
      <c r="E1172" t="s">
        <v>2353</v>
      </c>
      <c r="F1172" s="9" t="s">
        <v>2325</v>
      </c>
      <c r="G1172" s="10">
        <v>60000</v>
      </c>
    </row>
    <row r="1173" spans="1:7" x14ac:dyDescent="0.35">
      <c r="A1173" s="8" t="s">
        <v>2354</v>
      </c>
      <c r="B1173" s="9" t="s">
        <v>2569</v>
      </c>
      <c r="C1173" s="4">
        <v>44026</v>
      </c>
      <c r="D1173" s="4"/>
      <c r="E1173" t="s">
        <v>2353</v>
      </c>
      <c r="F1173" s="9" t="s">
        <v>2325</v>
      </c>
      <c r="G1173" s="10">
        <v>180000</v>
      </c>
    </row>
    <row r="1174" spans="1:7" x14ac:dyDescent="0.35">
      <c r="A1174" s="8" t="s">
        <v>2338</v>
      </c>
      <c r="B1174" s="9" t="s">
        <v>2569</v>
      </c>
      <c r="C1174" s="4">
        <v>44026</v>
      </c>
      <c r="D1174" s="4"/>
      <c r="E1174" t="s">
        <v>2339</v>
      </c>
      <c r="F1174" s="9" t="s">
        <v>2325</v>
      </c>
      <c r="G1174" s="10">
        <v>1250000</v>
      </c>
    </row>
    <row r="1175" spans="1:7" x14ac:dyDescent="0.35">
      <c r="A1175" s="8" t="s">
        <v>2340</v>
      </c>
      <c r="B1175" s="9" t="s">
        <v>2569</v>
      </c>
      <c r="C1175" s="4">
        <v>44026</v>
      </c>
      <c r="D1175" s="4"/>
      <c r="E1175" t="s">
        <v>2339</v>
      </c>
      <c r="F1175" s="9" t="s">
        <v>2325</v>
      </c>
      <c r="G1175" s="10">
        <v>1250000</v>
      </c>
    </row>
    <row r="1176" spans="1:7" x14ac:dyDescent="0.35">
      <c r="A1176" s="8" t="s">
        <v>2355</v>
      </c>
      <c r="B1176" s="9" t="s">
        <v>2569</v>
      </c>
      <c r="C1176" s="4">
        <v>44026</v>
      </c>
      <c r="D1176" s="4"/>
      <c r="E1176" t="s">
        <v>2356</v>
      </c>
      <c r="F1176" s="9" t="s">
        <v>2325</v>
      </c>
      <c r="G1176" s="10">
        <v>9600</v>
      </c>
    </row>
    <row r="1177" spans="1:7" x14ac:dyDescent="0.35">
      <c r="A1177" s="8" t="s">
        <v>2357</v>
      </c>
      <c r="B1177" s="9" t="s">
        <v>2569</v>
      </c>
      <c r="C1177" s="4">
        <v>44026</v>
      </c>
      <c r="D1177" s="4"/>
      <c r="E1177" t="s">
        <v>2356</v>
      </c>
      <c r="F1177" s="9" t="s">
        <v>2325</v>
      </c>
      <c r="G1177" s="10">
        <v>50000</v>
      </c>
    </row>
    <row r="1178" spans="1:7" x14ac:dyDescent="0.35">
      <c r="A1178" s="8" t="s">
        <v>2364</v>
      </c>
      <c r="B1178" s="9" t="s">
        <v>2365</v>
      </c>
      <c r="C1178" s="4">
        <v>44026</v>
      </c>
      <c r="D1178" s="4">
        <v>44098</v>
      </c>
      <c r="E1178" t="s">
        <v>2363</v>
      </c>
      <c r="F1178" s="9" t="s">
        <v>2325</v>
      </c>
      <c r="G1178" s="10">
        <v>5760000</v>
      </c>
    </row>
    <row r="1179" spans="1:7" x14ac:dyDescent="0.35">
      <c r="A1179" s="8" t="s">
        <v>2361</v>
      </c>
      <c r="B1179" s="9" t="s">
        <v>2362</v>
      </c>
      <c r="C1179" s="4">
        <v>44026</v>
      </c>
      <c r="D1179" s="4">
        <v>44098</v>
      </c>
      <c r="E1179" t="s">
        <v>2363</v>
      </c>
      <c r="F1179" s="9" t="s">
        <v>2325</v>
      </c>
      <c r="G1179" s="10">
        <v>6000000</v>
      </c>
    </row>
    <row r="1180" spans="1:7" x14ac:dyDescent="0.35">
      <c r="A1180" s="8" t="s">
        <v>2366</v>
      </c>
      <c r="B1180" s="9" t="s">
        <v>2367</v>
      </c>
      <c r="C1180" s="4">
        <v>44026</v>
      </c>
      <c r="D1180" s="4">
        <v>44098</v>
      </c>
      <c r="E1180" t="s">
        <v>2363</v>
      </c>
      <c r="F1180" s="9" t="s">
        <v>2325</v>
      </c>
      <c r="G1180" s="10">
        <v>22450000</v>
      </c>
    </row>
    <row r="1181" spans="1:7" x14ac:dyDescent="0.35">
      <c r="A1181" s="8" t="s">
        <v>2358</v>
      </c>
      <c r="B1181" s="9" t="s">
        <v>2359</v>
      </c>
      <c r="C1181" s="4">
        <v>44026</v>
      </c>
      <c r="D1181" s="4">
        <v>44081</v>
      </c>
      <c r="E1181" t="s">
        <v>2360</v>
      </c>
      <c r="F1181" s="9" t="s">
        <v>2325</v>
      </c>
      <c r="G1181" s="10">
        <v>49554.84</v>
      </c>
    </row>
    <row r="1182" spans="1:7" x14ac:dyDescent="0.35">
      <c r="A1182" s="8" t="s">
        <v>2378</v>
      </c>
      <c r="B1182" s="9" t="s">
        <v>2569</v>
      </c>
      <c r="C1182" s="4">
        <v>44047</v>
      </c>
      <c r="D1182" s="4"/>
      <c r="E1182" t="s">
        <v>462</v>
      </c>
      <c r="F1182" s="9" t="s">
        <v>2325</v>
      </c>
      <c r="G1182" s="10">
        <v>450000</v>
      </c>
    </row>
    <row r="1183" spans="1:7" x14ac:dyDescent="0.35">
      <c r="A1183" s="8" t="s">
        <v>2379</v>
      </c>
      <c r="B1183" s="9" t="s">
        <v>2380</v>
      </c>
      <c r="C1183" s="4">
        <v>44047</v>
      </c>
      <c r="D1183" s="4">
        <v>44085</v>
      </c>
      <c r="E1183" t="s">
        <v>2381</v>
      </c>
      <c r="F1183" s="9" t="s">
        <v>2325</v>
      </c>
      <c r="G1183" s="10">
        <v>325500</v>
      </c>
    </row>
    <row r="1184" spans="1:7" x14ac:dyDescent="0.35">
      <c r="A1184" s="8" t="s">
        <v>2382</v>
      </c>
      <c r="B1184" s="9" t="s">
        <v>2383</v>
      </c>
      <c r="C1184" s="4">
        <v>44047</v>
      </c>
      <c r="D1184" s="4">
        <v>44085</v>
      </c>
      <c r="E1184" t="s">
        <v>2381</v>
      </c>
      <c r="F1184" s="9" t="s">
        <v>2325</v>
      </c>
      <c r="G1184" s="10">
        <v>1500000</v>
      </c>
    </row>
    <row r="1185" spans="1:7" x14ac:dyDescent="0.35">
      <c r="A1185" s="8" t="s">
        <v>2384</v>
      </c>
      <c r="B1185" s="9" t="s">
        <v>2569</v>
      </c>
      <c r="C1185" s="4">
        <v>44047</v>
      </c>
      <c r="D1185" s="4"/>
      <c r="E1185" t="s">
        <v>2385</v>
      </c>
      <c r="F1185" s="9" t="s">
        <v>2325</v>
      </c>
      <c r="G1185" s="10">
        <v>40000</v>
      </c>
    </row>
    <row r="1186" spans="1:7" x14ac:dyDescent="0.35">
      <c r="A1186" s="8" t="s">
        <v>2386</v>
      </c>
      <c r="B1186" s="9" t="s">
        <v>2569</v>
      </c>
      <c r="C1186" s="4">
        <v>44047</v>
      </c>
      <c r="D1186" s="4"/>
      <c r="E1186" t="s">
        <v>2385</v>
      </c>
      <c r="F1186" s="9" t="s">
        <v>2325</v>
      </c>
      <c r="G1186" s="10">
        <v>330000</v>
      </c>
    </row>
    <row r="1187" spans="1:7" x14ac:dyDescent="0.35">
      <c r="A1187" s="8" t="s">
        <v>2396</v>
      </c>
      <c r="B1187" s="9" t="s">
        <v>2569</v>
      </c>
      <c r="C1187" s="4">
        <v>44047</v>
      </c>
      <c r="D1187" s="4"/>
      <c r="E1187" t="s">
        <v>2397</v>
      </c>
      <c r="F1187" s="9" t="s">
        <v>2325</v>
      </c>
      <c r="G1187" s="10">
        <v>2387500</v>
      </c>
    </row>
    <row r="1188" spans="1:7" x14ac:dyDescent="0.35">
      <c r="A1188" s="8" t="s">
        <v>2398</v>
      </c>
      <c r="B1188" s="9" t="s">
        <v>2569</v>
      </c>
      <c r="C1188" s="4">
        <v>44047</v>
      </c>
      <c r="D1188" s="4"/>
      <c r="E1188" t="s">
        <v>2397</v>
      </c>
      <c r="F1188" s="9" t="s">
        <v>2325</v>
      </c>
      <c r="G1188" s="10">
        <v>1000000</v>
      </c>
    </row>
    <row r="1189" spans="1:7" x14ac:dyDescent="0.35">
      <c r="A1189" s="8" t="s">
        <v>2394</v>
      </c>
      <c r="B1189" s="9" t="s">
        <v>2569</v>
      </c>
      <c r="C1189" s="4">
        <v>44047</v>
      </c>
      <c r="D1189" s="4"/>
      <c r="E1189" t="s">
        <v>1300</v>
      </c>
      <c r="F1189" s="9" t="s">
        <v>2325</v>
      </c>
      <c r="G1189" s="10">
        <v>4800</v>
      </c>
    </row>
    <row r="1190" spans="1:7" x14ac:dyDescent="0.35">
      <c r="A1190" s="8" t="s">
        <v>2395</v>
      </c>
      <c r="B1190" s="9" t="s">
        <v>2569</v>
      </c>
      <c r="C1190" s="4">
        <v>44047</v>
      </c>
      <c r="D1190" s="4"/>
      <c r="E1190" t="s">
        <v>1300</v>
      </c>
      <c r="F1190" s="9" t="s">
        <v>2325</v>
      </c>
      <c r="G1190" s="10">
        <v>50000</v>
      </c>
    </row>
    <row r="1191" spans="1:7" x14ac:dyDescent="0.35">
      <c r="A1191" s="8" t="s">
        <v>2387</v>
      </c>
      <c r="B1191" s="9" t="s">
        <v>2569</v>
      </c>
      <c r="C1191" s="4">
        <v>44047</v>
      </c>
      <c r="D1191" s="4"/>
      <c r="E1191" t="s">
        <v>2388</v>
      </c>
      <c r="F1191" s="9" t="s">
        <v>2325</v>
      </c>
      <c r="G1191" s="10">
        <v>2680000</v>
      </c>
    </row>
    <row r="1192" spans="1:7" x14ac:dyDescent="0.35">
      <c r="A1192" s="8" t="s">
        <v>2399</v>
      </c>
      <c r="B1192" s="9" t="s">
        <v>2569</v>
      </c>
      <c r="C1192" s="4">
        <v>44047</v>
      </c>
      <c r="D1192" s="4"/>
      <c r="E1192" t="s">
        <v>2388</v>
      </c>
      <c r="F1192" s="9" t="s">
        <v>2325</v>
      </c>
      <c r="G1192" s="10">
        <v>6000000</v>
      </c>
    </row>
    <row r="1193" spans="1:7" x14ac:dyDescent="0.35">
      <c r="A1193" s="8" t="s">
        <v>2400</v>
      </c>
      <c r="B1193" s="9" t="s">
        <v>2569</v>
      </c>
      <c r="C1193" s="4">
        <v>44047</v>
      </c>
      <c r="D1193" s="4"/>
      <c r="E1193" t="s">
        <v>2388</v>
      </c>
      <c r="F1193" s="9" t="s">
        <v>2325</v>
      </c>
      <c r="G1193" s="10">
        <v>8100000</v>
      </c>
    </row>
    <row r="1194" spans="1:7" x14ac:dyDescent="0.35">
      <c r="A1194" s="8" t="s">
        <v>2368</v>
      </c>
      <c r="B1194" s="9" t="s">
        <v>2569</v>
      </c>
      <c r="C1194" s="4">
        <v>44047</v>
      </c>
      <c r="D1194" s="4"/>
      <c r="E1194" t="s">
        <v>2369</v>
      </c>
      <c r="F1194" s="9" t="s">
        <v>2325</v>
      </c>
      <c r="G1194" s="10">
        <v>35000</v>
      </c>
    </row>
    <row r="1195" spans="1:7" x14ac:dyDescent="0.35">
      <c r="A1195" s="8" t="s">
        <v>2371</v>
      </c>
      <c r="B1195" s="9" t="s">
        <v>2569</v>
      </c>
      <c r="C1195" s="4">
        <v>44047</v>
      </c>
      <c r="D1195" s="4"/>
      <c r="E1195" t="s">
        <v>2369</v>
      </c>
      <c r="F1195" s="9" t="s">
        <v>2325</v>
      </c>
      <c r="G1195" s="10">
        <v>100000</v>
      </c>
    </row>
    <row r="1196" spans="1:7" x14ac:dyDescent="0.35">
      <c r="A1196" s="8" t="s">
        <v>2370</v>
      </c>
      <c r="B1196" s="9" t="s">
        <v>2569</v>
      </c>
      <c r="C1196" s="4">
        <v>44047</v>
      </c>
      <c r="D1196" s="4"/>
      <c r="E1196" t="s">
        <v>2369</v>
      </c>
      <c r="F1196" s="9" t="s">
        <v>2325</v>
      </c>
      <c r="G1196" s="10">
        <v>100000</v>
      </c>
    </row>
    <row r="1197" spans="1:7" x14ac:dyDescent="0.35">
      <c r="A1197" s="8" t="s">
        <v>2389</v>
      </c>
      <c r="B1197" s="9" t="s">
        <v>2390</v>
      </c>
      <c r="C1197" s="4">
        <v>44047</v>
      </c>
      <c r="D1197" s="4">
        <v>44099</v>
      </c>
      <c r="E1197" t="s">
        <v>2391</v>
      </c>
      <c r="F1197" s="9" t="s">
        <v>2325</v>
      </c>
      <c r="G1197" s="10">
        <v>1000000</v>
      </c>
    </row>
    <row r="1198" spans="1:7" x14ac:dyDescent="0.35">
      <c r="A1198" s="8" t="s">
        <v>2392</v>
      </c>
      <c r="B1198" s="9" t="s">
        <v>2393</v>
      </c>
      <c r="C1198" s="4">
        <v>44047</v>
      </c>
      <c r="D1198" s="4">
        <v>44099</v>
      </c>
      <c r="E1198" t="s">
        <v>2391</v>
      </c>
      <c r="F1198" s="9" t="s">
        <v>2325</v>
      </c>
      <c r="G1198" s="10">
        <v>4000000</v>
      </c>
    </row>
    <row r="1199" spans="1:7" x14ac:dyDescent="0.35">
      <c r="A1199" s="8" t="s">
        <v>2372</v>
      </c>
      <c r="B1199" s="9" t="s">
        <v>2569</v>
      </c>
      <c r="C1199" s="4">
        <v>44047</v>
      </c>
      <c r="D1199" s="4"/>
      <c r="E1199" t="s">
        <v>2373</v>
      </c>
      <c r="F1199" s="9" t="s">
        <v>2325</v>
      </c>
      <c r="G1199" s="10">
        <v>25600</v>
      </c>
    </row>
    <row r="1200" spans="1:7" x14ac:dyDescent="0.35">
      <c r="A1200" s="8" t="s">
        <v>2374</v>
      </c>
      <c r="B1200" s="9" t="s">
        <v>2569</v>
      </c>
      <c r="C1200" s="4">
        <v>44047</v>
      </c>
      <c r="D1200" s="4"/>
      <c r="E1200" t="s">
        <v>2373</v>
      </c>
      <c r="F1200" s="9" t="s">
        <v>2325</v>
      </c>
      <c r="G1200" s="10">
        <v>46605</v>
      </c>
    </row>
    <row r="1201" spans="1:7" x14ac:dyDescent="0.35">
      <c r="A1201" s="8" t="s">
        <v>2377</v>
      </c>
      <c r="B1201" s="9" t="s">
        <v>2569</v>
      </c>
      <c r="C1201" s="4">
        <v>44047</v>
      </c>
      <c r="D1201" s="4"/>
      <c r="E1201" t="s">
        <v>2376</v>
      </c>
      <c r="F1201" s="9" t="s">
        <v>2325</v>
      </c>
      <c r="G1201" s="10">
        <v>209000</v>
      </c>
    </row>
    <row r="1202" spans="1:7" x14ac:dyDescent="0.35">
      <c r="A1202" s="8" t="s">
        <v>2375</v>
      </c>
      <c r="B1202" s="9" t="s">
        <v>2569</v>
      </c>
      <c r="C1202" s="4">
        <v>44047</v>
      </c>
      <c r="D1202" s="4"/>
      <c r="E1202" t="s">
        <v>2376</v>
      </c>
      <c r="F1202" s="9" t="s">
        <v>2325</v>
      </c>
      <c r="G1202" s="10">
        <v>2300000</v>
      </c>
    </row>
    <row r="1203" spans="1:7" x14ac:dyDescent="0.35">
      <c r="A1203" s="8" t="s">
        <v>2322</v>
      </c>
      <c r="B1203" s="9" t="s">
        <v>2569</v>
      </c>
      <c r="C1203" s="4">
        <v>44049</v>
      </c>
      <c r="D1203" s="4"/>
      <c r="E1203" t="s">
        <v>815</v>
      </c>
      <c r="F1203" s="9" t="s">
        <v>5</v>
      </c>
      <c r="G1203" s="10">
        <v>41169</v>
      </c>
    </row>
    <row r="1204" spans="1:7" x14ac:dyDescent="0.35">
      <c r="A1204" s="8" t="s">
        <v>2402</v>
      </c>
      <c r="B1204" s="9" t="s">
        <v>2569</v>
      </c>
      <c r="C1204" s="4">
        <v>44078</v>
      </c>
      <c r="D1204" s="4"/>
      <c r="E1204" t="s">
        <v>2403</v>
      </c>
      <c r="F1204" s="9" t="s">
        <v>2325</v>
      </c>
      <c r="G1204" s="10">
        <v>40000</v>
      </c>
    </row>
    <row r="1205" spans="1:7" x14ac:dyDescent="0.35">
      <c r="A1205" s="8" t="s">
        <v>2404</v>
      </c>
      <c r="B1205" s="9" t="s">
        <v>2569</v>
      </c>
      <c r="C1205" s="4">
        <v>44078</v>
      </c>
      <c r="D1205" s="4"/>
      <c r="E1205" t="s">
        <v>2403</v>
      </c>
      <c r="F1205" s="9" t="s">
        <v>2325</v>
      </c>
      <c r="G1205" s="10">
        <v>50000</v>
      </c>
    </row>
    <row r="1206" spans="1:7" x14ac:dyDescent="0.35">
      <c r="A1206" s="8" t="s">
        <v>2405</v>
      </c>
      <c r="B1206" s="9" t="s">
        <v>2569</v>
      </c>
      <c r="C1206" s="4">
        <v>44083</v>
      </c>
      <c r="D1206" s="4"/>
      <c r="E1206" t="s">
        <v>2513</v>
      </c>
      <c r="F1206" s="9" t="s">
        <v>2325</v>
      </c>
      <c r="G1206" s="10">
        <v>75000</v>
      </c>
    </row>
    <row r="1207" spans="1:7" x14ac:dyDescent="0.35">
      <c r="A1207" s="8" t="s">
        <v>2407</v>
      </c>
      <c r="B1207" s="9" t="s">
        <v>2569</v>
      </c>
      <c r="C1207" s="4">
        <v>44083</v>
      </c>
      <c r="D1207" s="4"/>
      <c r="E1207" t="s">
        <v>2513</v>
      </c>
      <c r="F1207" s="9" t="s">
        <v>2325</v>
      </c>
      <c r="G1207" s="10">
        <v>73163.600000000006</v>
      </c>
    </row>
    <row r="1208" spans="1:7" x14ac:dyDescent="0.35">
      <c r="A1208" s="8" t="s">
        <v>2406</v>
      </c>
      <c r="B1208" s="9" t="s">
        <v>2569</v>
      </c>
      <c r="C1208" s="4">
        <v>44083</v>
      </c>
      <c r="D1208" s="4"/>
      <c r="E1208" s="9" t="s">
        <v>2513</v>
      </c>
      <c r="F1208" s="9" t="s">
        <v>2325</v>
      </c>
      <c r="G1208" s="10">
        <v>50000</v>
      </c>
    </row>
    <row r="1209" spans="1:7" x14ac:dyDescent="0.35">
      <c r="A1209" s="8" t="s">
        <v>2408</v>
      </c>
      <c r="B1209" s="9" t="s">
        <v>2569</v>
      </c>
      <c r="C1209" s="4">
        <v>44083</v>
      </c>
      <c r="D1209" s="4"/>
      <c r="E1209" t="s">
        <v>2409</v>
      </c>
      <c r="F1209" s="9" t="s">
        <v>2325</v>
      </c>
      <c r="G1209" s="10">
        <v>70000</v>
      </c>
    </row>
    <row r="1210" spans="1:7" x14ac:dyDescent="0.35">
      <c r="A1210" s="8" t="s">
        <v>2411</v>
      </c>
      <c r="B1210" s="9" t="s">
        <v>2569</v>
      </c>
      <c r="C1210" s="4">
        <v>44083</v>
      </c>
      <c r="D1210" s="4"/>
      <c r="E1210" t="s">
        <v>2409</v>
      </c>
      <c r="F1210" s="9" t="s">
        <v>2325</v>
      </c>
      <c r="G1210" s="10">
        <v>49000</v>
      </c>
    </row>
    <row r="1211" spans="1:7" x14ac:dyDescent="0.35">
      <c r="A1211" s="8" t="s">
        <v>2410</v>
      </c>
      <c r="B1211" s="9" t="s">
        <v>2569</v>
      </c>
      <c r="C1211" s="4">
        <v>44083</v>
      </c>
      <c r="D1211" s="4"/>
      <c r="E1211" t="s">
        <v>2409</v>
      </c>
      <c r="F1211" s="9" t="s">
        <v>2325</v>
      </c>
      <c r="G1211" s="10">
        <v>100000</v>
      </c>
    </row>
    <row r="1212" spans="1:7" x14ac:dyDescent="0.35">
      <c r="A1212" s="8" t="s">
        <v>2415</v>
      </c>
      <c r="B1212" s="9" t="s">
        <v>2569</v>
      </c>
      <c r="C1212" s="4">
        <v>44083</v>
      </c>
      <c r="D1212" s="4"/>
      <c r="E1212" t="s">
        <v>2511</v>
      </c>
      <c r="F1212" s="9" t="s">
        <v>2325</v>
      </c>
      <c r="G1212" s="10">
        <v>178000</v>
      </c>
    </row>
    <row r="1213" spans="1:7" x14ac:dyDescent="0.35">
      <c r="A1213" s="8" t="s">
        <v>2414</v>
      </c>
      <c r="B1213" s="9" t="s">
        <v>2569</v>
      </c>
      <c r="C1213" s="4">
        <v>44083</v>
      </c>
      <c r="D1213" s="4"/>
      <c r="E1213" t="s">
        <v>2511</v>
      </c>
      <c r="F1213" s="9" t="s">
        <v>2325</v>
      </c>
      <c r="G1213" s="10">
        <v>200000</v>
      </c>
    </row>
    <row r="1214" spans="1:7" x14ac:dyDescent="0.35">
      <c r="A1214" s="8" t="s">
        <v>2413</v>
      </c>
      <c r="B1214" s="9" t="s">
        <v>2569</v>
      </c>
      <c r="C1214" s="4">
        <v>44083</v>
      </c>
      <c r="D1214" s="4"/>
      <c r="E1214" t="s">
        <v>2511</v>
      </c>
      <c r="F1214" s="9" t="s">
        <v>2325</v>
      </c>
      <c r="G1214" s="10">
        <v>400000</v>
      </c>
    </row>
    <row r="1215" spans="1:7" x14ac:dyDescent="0.35">
      <c r="A1215" s="8" t="s">
        <v>2412</v>
      </c>
      <c r="B1215" s="9" t="s">
        <v>2569</v>
      </c>
      <c r="C1215" s="4">
        <v>44083</v>
      </c>
      <c r="D1215" s="4"/>
      <c r="E1215" t="s">
        <v>197</v>
      </c>
      <c r="F1215" s="9" t="s">
        <v>2325</v>
      </c>
      <c r="G1215" s="10">
        <v>42000</v>
      </c>
    </row>
    <row r="1216" spans="1:7" x14ac:dyDescent="0.35">
      <c r="A1216" s="8" t="s">
        <v>2416</v>
      </c>
      <c r="B1216" s="9" t="s">
        <v>2569</v>
      </c>
      <c r="C1216" s="4">
        <v>44083</v>
      </c>
      <c r="D1216" s="4"/>
      <c r="E1216" t="s">
        <v>197</v>
      </c>
      <c r="F1216" s="9" t="s">
        <v>2325</v>
      </c>
      <c r="G1216" s="10">
        <v>350000</v>
      </c>
    </row>
    <row r="1217" spans="1:7" x14ac:dyDescent="0.35">
      <c r="A1217" s="8" t="s">
        <v>2417</v>
      </c>
      <c r="B1217" s="9" t="s">
        <v>2569</v>
      </c>
      <c r="C1217" s="4">
        <v>44083</v>
      </c>
      <c r="D1217" s="4"/>
      <c r="E1217" t="s">
        <v>197</v>
      </c>
      <c r="F1217" s="9" t="s">
        <v>2325</v>
      </c>
      <c r="G1217" s="10">
        <v>612500</v>
      </c>
    </row>
    <row r="1218" spans="1:7" x14ac:dyDescent="0.35">
      <c r="A1218" s="8" t="s">
        <v>2418</v>
      </c>
      <c r="B1218" s="9" t="s">
        <v>2569</v>
      </c>
      <c r="C1218" s="4">
        <v>44090</v>
      </c>
      <c r="D1218" s="4"/>
      <c r="E1218" t="s">
        <v>815</v>
      </c>
      <c r="F1218" s="9" t="s">
        <v>2325</v>
      </c>
      <c r="G1218" s="10">
        <v>23738</v>
      </c>
    </row>
    <row r="1219" spans="1:7" x14ac:dyDescent="0.35">
      <c r="A1219" s="8" t="s">
        <v>2419</v>
      </c>
      <c r="B1219" s="9" t="s">
        <v>2569</v>
      </c>
      <c r="C1219" s="4">
        <v>44090</v>
      </c>
      <c r="D1219" s="4"/>
      <c r="E1219" t="s">
        <v>815</v>
      </c>
      <c r="F1219" s="9" t="s">
        <v>2325</v>
      </c>
      <c r="G1219" s="10">
        <v>43889</v>
      </c>
    </row>
    <row r="1220" spans="1:7" x14ac:dyDescent="0.35">
      <c r="A1220" s="8" t="s">
        <v>2420</v>
      </c>
      <c r="B1220" s="9" t="s">
        <v>2569</v>
      </c>
      <c r="C1220" s="4">
        <v>44090</v>
      </c>
      <c r="D1220" s="4"/>
      <c r="E1220" t="s">
        <v>815</v>
      </c>
      <c r="F1220" s="9" t="s">
        <v>2325</v>
      </c>
      <c r="G1220" s="10">
        <v>36771.33</v>
      </c>
    </row>
    <row r="1221" spans="1:7" x14ac:dyDescent="0.35">
      <c r="A1221" s="8" t="s">
        <v>2421</v>
      </c>
      <c r="B1221" s="9" t="s">
        <v>2569</v>
      </c>
      <c r="C1221" s="4">
        <v>44090</v>
      </c>
      <c r="D1221" s="4"/>
      <c r="E1221" t="s">
        <v>2422</v>
      </c>
      <c r="F1221" s="9" t="s">
        <v>2325</v>
      </c>
      <c r="G1221" s="10">
        <v>30351</v>
      </c>
    </row>
    <row r="1222" spans="1:7" x14ac:dyDescent="0.35">
      <c r="A1222" s="8" t="s">
        <v>2427</v>
      </c>
      <c r="B1222" s="9" t="s">
        <v>2569</v>
      </c>
      <c r="C1222" s="4">
        <v>44090</v>
      </c>
      <c r="D1222" s="4"/>
      <c r="E1222" t="s">
        <v>2428</v>
      </c>
      <c r="F1222" s="9" t="s">
        <v>2325</v>
      </c>
      <c r="G1222" s="10">
        <v>10499.08</v>
      </c>
    </row>
    <row r="1223" spans="1:7" x14ac:dyDescent="0.35">
      <c r="A1223" s="8" t="s">
        <v>2423</v>
      </c>
      <c r="B1223" s="9" t="s">
        <v>2569</v>
      </c>
      <c r="C1223" s="4">
        <v>44090</v>
      </c>
      <c r="D1223" s="4"/>
      <c r="E1223" t="s">
        <v>846</v>
      </c>
      <c r="F1223" s="9" t="s">
        <v>2325</v>
      </c>
      <c r="G1223" s="10">
        <v>348</v>
      </c>
    </row>
    <row r="1224" spans="1:7" x14ac:dyDescent="0.35">
      <c r="A1224" s="8" t="s">
        <v>2424</v>
      </c>
      <c r="B1224" s="9" t="s">
        <v>2569</v>
      </c>
      <c r="C1224" s="4">
        <v>44090</v>
      </c>
      <c r="D1224" s="4"/>
      <c r="E1224" t="s">
        <v>799</v>
      </c>
      <c r="F1224" s="9" t="s">
        <v>2325</v>
      </c>
      <c r="G1224" s="10">
        <v>7990</v>
      </c>
    </row>
    <row r="1225" spans="1:7" x14ac:dyDescent="0.35">
      <c r="A1225" s="8" t="s">
        <v>2425</v>
      </c>
      <c r="B1225" s="9" t="s">
        <v>2569</v>
      </c>
      <c r="C1225" s="4">
        <v>44090</v>
      </c>
      <c r="D1225" s="4"/>
      <c r="E1225" t="s">
        <v>799</v>
      </c>
      <c r="F1225" s="9" t="s">
        <v>2325</v>
      </c>
      <c r="G1225" s="10">
        <v>7072</v>
      </c>
    </row>
    <row r="1226" spans="1:7" x14ac:dyDescent="0.35">
      <c r="A1226" s="8" t="s">
        <v>2426</v>
      </c>
      <c r="B1226" s="9" t="s">
        <v>2569</v>
      </c>
      <c r="C1226" s="4">
        <v>44090</v>
      </c>
      <c r="D1226" s="4"/>
      <c r="E1226" t="s">
        <v>774</v>
      </c>
      <c r="F1226" s="9" t="s">
        <v>2325</v>
      </c>
      <c r="G1226" s="10">
        <v>8683</v>
      </c>
    </row>
    <row r="1227" spans="1:7" x14ac:dyDescent="0.35">
      <c r="A1227" s="8" t="s">
        <v>2429</v>
      </c>
      <c r="B1227" s="9" t="s">
        <v>2569</v>
      </c>
      <c r="C1227" s="4">
        <v>44090</v>
      </c>
      <c r="D1227" s="4"/>
      <c r="E1227" t="s">
        <v>807</v>
      </c>
      <c r="F1227" s="9" t="s">
        <v>2325</v>
      </c>
      <c r="G1227" s="10">
        <v>3731.7</v>
      </c>
    </row>
    <row r="1228" spans="1:7" x14ac:dyDescent="0.35">
      <c r="A1228" s="8" t="s">
        <v>2430</v>
      </c>
      <c r="B1228" s="9" t="s">
        <v>2569</v>
      </c>
      <c r="C1228" s="4">
        <v>44102</v>
      </c>
      <c r="D1228" s="4"/>
      <c r="E1228" t="s">
        <v>786</v>
      </c>
      <c r="F1228" s="9" t="s">
        <v>2325</v>
      </c>
      <c r="G1228" s="10">
        <v>5293.98</v>
      </c>
    </row>
    <row r="1229" spans="1:7" x14ac:dyDescent="0.35">
      <c r="A1229" s="8" t="s">
        <v>2453</v>
      </c>
      <c r="B1229" s="9" t="s">
        <v>2569</v>
      </c>
      <c r="C1229" s="4">
        <v>44109</v>
      </c>
      <c r="D1229" s="4"/>
      <c r="E1229" t="s">
        <v>2454</v>
      </c>
      <c r="F1229" s="9" t="s">
        <v>2325</v>
      </c>
      <c r="G1229" s="10">
        <v>66000</v>
      </c>
    </row>
    <row r="1230" spans="1:7" x14ac:dyDescent="0.35">
      <c r="A1230" s="8" t="s">
        <v>2456</v>
      </c>
      <c r="B1230" s="9" t="s">
        <v>2569</v>
      </c>
      <c r="C1230" s="4">
        <v>44109</v>
      </c>
      <c r="D1230" s="4"/>
      <c r="E1230" t="s">
        <v>2454</v>
      </c>
      <c r="F1230" s="9" t="s">
        <v>2325</v>
      </c>
      <c r="G1230" s="10">
        <v>2360000</v>
      </c>
    </row>
    <row r="1231" spans="1:7" x14ac:dyDescent="0.35">
      <c r="A1231" s="8" t="s">
        <v>2455</v>
      </c>
      <c r="B1231" s="9" t="s">
        <v>2569</v>
      </c>
      <c r="C1231" s="4">
        <v>44109</v>
      </c>
      <c r="D1231" s="4"/>
      <c r="E1231" t="s">
        <v>2454</v>
      </c>
      <c r="F1231" s="9" t="s">
        <v>2325</v>
      </c>
      <c r="G1231" s="10">
        <v>583750</v>
      </c>
    </row>
    <row r="1232" spans="1:7" x14ac:dyDescent="0.35">
      <c r="A1232" s="8" t="s">
        <v>2431</v>
      </c>
      <c r="B1232" s="9" t="s">
        <v>2569</v>
      </c>
      <c r="C1232" s="4">
        <v>44109</v>
      </c>
      <c r="D1232" s="4"/>
      <c r="E1232" t="s">
        <v>2432</v>
      </c>
      <c r="F1232" s="9" t="s">
        <v>2325</v>
      </c>
      <c r="G1232" s="10">
        <v>23693</v>
      </c>
    </row>
    <row r="1233" spans="1:7" x14ac:dyDescent="0.35">
      <c r="A1233" s="8" t="s">
        <v>2433</v>
      </c>
      <c r="B1233" s="9" t="s">
        <v>2569</v>
      </c>
      <c r="C1233" s="4">
        <v>44109</v>
      </c>
      <c r="D1233" s="4"/>
      <c r="E1233" t="s">
        <v>2434</v>
      </c>
      <c r="F1233" s="9" t="s">
        <v>2325</v>
      </c>
      <c r="G1233" s="10">
        <v>63000</v>
      </c>
    </row>
    <row r="1234" spans="1:7" x14ac:dyDescent="0.35">
      <c r="A1234" s="8" t="s">
        <v>2435</v>
      </c>
      <c r="B1234" s="9" t="s">
        <v>2569</v>
      </c>
      <c r="C1234" s="4">
        <v>44109</v>
      </c>
      <c r="D1234" s="4"/>
      <c r="E1234" t="s">
        <v>2434</v>
      </c>
      <c r="F1234" s="9" t="s">
        <v>2325</v>
      </c>
      <c r="G1234" s="10">
        <v>50000</v>
      </c>
    </row>
    <row r="1235" spans="1:7" x14ac:dyDescent="0.35">
      <c r="A1235" s="8" t="s">
        <v>2469</v>
      </c>
      <c r="B1235" s="9" t="s">
        <v>2569</v>
      </c>
      <c r="C1235" s="4">
        <v>44109</v>
      </c>
      <c r="D1235" s="4"/>
      <c r="E1235" t="s">
        <v>2468</v>
      </c>
      <c r="F1235" s="9" t="s">
        <v>2325</v>
      </c>
      <c r="G1235" s="10">
        <v>1895000</v>
      </c>
    </row>
    <row r="1236" spans="1:7" x14ac:dyDescent="0.35">
      <c r="A1236" s="8" t="s">
        <v>2467</v>
      </c>
      <c r="B1236" s="9" t="s">
        <v>2569</v>
      </c>
      <c r="C1236" s="4">
        <v>44109</v>
      </c>
      <c r="D1236" s="4"/>
      <c r="E1236" t="s">
        <v>2468</v>
      </c>
      <c r="F1236" s="9" t="s">
        <v>2325</v>
      </c>
      <c r="G1236" s="10">
        <v>2250000</v>
      </c>
    </row>
    <row r="1237" spans="1:7" x14ac:dyDescent="0.35">
      <c r="A1237" s="8" t="s">
        <v>2436</v>
      </c>
      <c r="B1237" s="9" t="s">
        <v>2569</v>
      </c>
      <c r="C1237" s="4">
        <v>44109</v>
      </c>
      <c r="D1237" s="4"/>
      <c r="E1237" t="s">
        <v>2437</v>
      </c>
      <c r="F1237" s="9" t="s">
        <v>2325</v>
      </c>
      <c r="G1237" s="10">
        <v>51000</v>
      </c>
    </row>
    <row r="1238" spans="1:7" x14ac:dyDescent="0.35">
      <c r="A1238" s="8" t="s">
        <v>2438</v>
      </c>
      <c r="B1238" s="9" t="s">
        <v>2569</v>
      </c>
      <c r="C1238" s="4">
        <v>44109</v>
      </c>
      <c r="D1238" s="4"/>
      <c r="E1238" t="s">
        <v>2437</v>
      </c>
      <c r="F1238" s="9" t="s">
        <v>2325</v>
      </c>
      <c r="G1238" s="10">
        <v>40000</v>
      </c>
    </row>
    <row r="1239" spans="1:7" x14ac:dyDescent="0.35">
      <c r="A1239" s="8" t="s">
        <v>2439</v>
      </c>
      <c r="B1239" s="9" t="s">
        <v>2569</v>
      </c>
      <c r="C1239" s="4">
        <v>44109</v>
      </c>
      <c r="D1239" s="4"/>
      <c r="E1239" t="s">
        <v>2440</v>
      </c>
      <c r="F1239" s="9" t="s">
        <v>2325</v>
      </c>
      <c r="G1239" s="10">
        <v>25250</v>
      </c>
    </row>
    <row r="1240" spans="1:7" x14ac:dyDescent="0.35">
      <c r="A1240" s="8" t="s">
        <v>2441</v>
      </c>
      <c r="B1240" s="9" t="s">
        <v>2569</v>
      </c>
      <c r="C1240" s="4">
        <v>44109</v>
      </c>
      <c r="D1240" s="4"/>
      <c r="E1240" t="s">
        <v>2440</v>
      </c>
      <c r="F1240" s="9" t="s">
        <v>2325</v>
      </c>
      <c r="G1240" s="10">
        <v>223685</v>
      </c>
    </row>
    <row r="1241" spans="1:7" x14ac:dyDescent="0.35">
      <c r="A1241" s="8" t="s">
        <v>2442</v>
      </c>
      <c r="B1241" s="9" t="s">
        <v>2569</v>
      </c>
      <c r="C1241" s="4">
        <v>44109</v>
      </c>
      <c r="D1241" s="4"/>
      <c r="E1241" t="s">
        <v>2443</v>
      </c>
      <c r="F1241" s="9" t="s">
        <v>2325</v>
      </c>
      <c r="G1241" s="10">
        <v>22500</v>
      </c>
    </row>
    <row r="1242" spans="1:7" x14ac:dyDescent="0.35">
      <c r="A1242" s="8" t="s">
        <v>2444</v>
      </c>
      <c r="B1242" s="9" t="s">
        <v>2569</v>
      </c>
      <c r="C1242" s="4">
        <v>44109</v>
      </c>
      <c r="D1242" s="4"/>
      <c r="E1242" t="s">
        <v>2443</v>
      </c>
      <c r="F1242" s="9" t="s">
        <v>2325</v>
      </c>
      <c r="G1242" s="10">
        <v>50000</v>
      </c>
    </row>
    <row r="1243" spans="1:7" x14ac:dyDescent="0.35">
      <c r="A1243" s="8" t="s">
        <v>2445</v>
      </c>
      <c r="B1243" s="9" t="s">
        <v>2569</v>
      </c>
      <c r="C1243" s="4">
        <v>44109</v>
      </c>
      <c r="D1243" s="4"/>
      <c r="E1243" t="s">
        <v>2446</v>
      </c>
      <c r="F1243" s="9" t="s">
        <v>2325</v>
      </c>
      <c r="G1243" s="10">
        <v>5000</v>
      </c>
    </row>
    <row r="1244" spans="1:7" x14ac:dyDescent="0.35">
      <c r="A1244" s="8" t="s">
        <v>2447</v>
      </c>
      <c r="B1244" s="9" t="s">
        <v>2569</v>
      </c>
      <c r="C1244" s="4">
        <v>44109</v>
      </c>
      <c r="D1244" s="4"/>
      <c r="E1244" t="s">
        <v>2448</v>
      </c>
      <c r="F1244" s="9" t="s">
        <v>2325</v>
      </c>
      <c r="G1244" s="10">
        <v>20000</v>
      </c>
    </row>
    <row r="1245" spans="1:7" x14ac:dyDescent="0.35">
      <c r="A1245" s="8" t="s">
        <v>2449</v>
      </c>
      <c r="B1245" s="9" t="s">
        <v>2569</v>
      </c>
      <c r="C1245" s="4">
        <v>44109</v>
      </c>
      <c r="D1245" s="4"/>
      <c r="E1245" t="s">
        <v>2448</v>
      </c>
      <c r="F1245" s="9" t="s">
        <v>2325</v>
      </c>
      <c r="G1245" s="10">
        <v>50000</v>
      </c>
    </row>
    <row r="1246" spans="1:7" x14ac:dyDescent="0.35">
      <c r="A1246" s="8" t="s">
        <v>2457</v>
      </c>
      <c r="B1246" s="9" t="s">
        <v>2569</v>
      </c>
      <c r="C1246" s="4">
        <v>44109</v>
      </c>
      <c r="D1246" s="4"/>
      <c r="E1246" t="s">
        <v>2458</v>
      </c>
      <c r="F1246" s="9" t="s">
        <v>2325</v>
      </c>
      <c r="G1246" s="10">
        <v>2500000</v>
      </c>
    </row>
    <row r="1247" spans="1:7" x14ac:dyDescent="0.35">
      <c r="A1247" s="8" t="s">
        <v>2450</v>
      </c>
      <c r="B1247" s="9" t="s">
        <v>2569</v>
      </c>
      <c r="C1247" s="4">
        <v>44109</v>
      </c>
      <c r="D1247" s="4"/>
      <c r="E1247" t="s">
        <v>2451</v>
      </c>
      <c r="F1247" s="9" t="s">
        <v>2325</v>
      </c>
      <c r="G1247" s="10">
        <v>9000</v>
      </c>
    </row>
    <row r="1248" spans="1:7" x14ac:dyDescent="0.35">
      <c r="A1248" s="8" t="s">
        <v>2452</v>
      </c>
      <c r="B1248" s="9" t="s">
        <v>2569</v>
      </c>
      <c r="C1248" s="4">
        <v>44109</v>
      </c>
      <c r="D1248" s="4"/>
      <c r="E1248" t="s">
        <v>2451</v>
      </c>
      <c r="F1248" s="9" t="s">
        <v>2325</v>
      </c>
      <c r="G1248" s="10">
        <v>125000</v>
      </c>
    </row>
    <row r="1249" spans="1:7" x14ac:dyDescent="0.35">
      <c r="A1249" s="8" t="s">
        <v>2459</v>
      </c>
      <c r="B1249" s="9" t="s">
        <v>2569</v>
      </c>
      <c r="C1249" s="4">
        <v>44109</v>
      </c>
      <c r="D1249" s="4"/>
      <c r="E1249" t="s">
        <v>2460</v>
      </c>
      <c r="F1249" s="9" t="s">
        <v>2325</v>
      </c>
      <c r="G1249" s="10">
        <v>52500</v>
      </c>
    </row>
    <row r="1250" spans="1:7" x14ac:dyDescent="0.35">
      <c r="A1250" s="8" t="s">
        <v>2462</v>
      </c>
      <c r="B1250" s="9" t="s">
        <v>2569</v>
      </c>
      <c r="C1250" s="4">
        <v>44109</v>
      </c>
      <c r="D1250" s="4"/>
      <c r="E1250" t="s">
        <v>2460</v>
      </c>
      <c r="F1250" s="9" t="s">
        <v>2325</v>
      </c>
      <c r="G1250" s="10">
        <v>100000</v>
      </c>
    </row>
    <row r="1251" spans="1:7" x14ac:dyDescent="0.35">
      <c r="A1251" s="8" t="s">
        <v>2461</v>
      </c>
      <c r="B1251" s="9" t="s">
        <v>2569</v>
      </c>
      <c r="C1251" s="4">
        <v>44109</v>
      </c>
      <c r="D1251" s="4"/>
      <c r="E1251" t="s">
        <v>2460</v>
      </c>
      <c r="F1251" s="9" t="s">
        <v>2325</v>
      </c>
      <c r="G1251" s="10">
        <v>500000</v>
      </c>
    </row>
    <row r="1252" spans="1:7" x14ac:dyDescent="0.35">
      <c r="A1252" s="8" t="s">
        <v>2463</v>
      </c>
      <c r="B1252" s="9" t="s">
        <v>2569</v>
      </c>
      <c r="C1252" s="4">
        <v>44109</v>
      </c>
      <c r="D1252" s="4"/>
      <c r="E1252" t="s">
        <v>197</v>
      </c>
      <c r="F1252" s="9" t="s">
        <v>2325</v>
      </c>
      <c r="G1252" s="10">
        <v>700000</v>
      </c>
    </row>
    <row r="1253" spans="1:7" x14ac:dyDescent="0.35">
      <c r="A1253" s="8" t="s">
        <v>2464</v>
      </c>
      <c r="B1253" s="9" t="s">
        <v>2569</v>
      </c>
      <c r="C1253" s="4">
        <v>44109</v>
      </c>
      <c r="D1253" s="4"/>
      <c r="E1253" t="s">
        <v>2465</v>
      </c>
      <c r="F1253" s="9" t="s">
        <v>2325</v>
      </c>
      <c r="G1253" s="10">
        <v>200000</v>
      </c>
    </row>
    <row r="1254" spans="1:7" x14ac:dyDescent="0.35">
      <c r="A1254" s="8" t="s">
        <v>2466</v>
      </c>
      <c r="B1254" s="9" t="s">
        <v>2569</v>
      </c>
      <c r="C1254" s="4">
        <v>44109</v>
      </c>
      <c r="D1254" s="4"/>
      <c r="E1254" t="s">
        <v>2465</v>
      </c>
      <c r="F1254" s="9" t="s">
        <v>2325</v>
      </c>
      <c r="G1254" s="10">
        <v>200000</v>
      </c>
    </row>
    <row r="1255" spans="1:7" x14ac:dyDescent="0.35">
      <c r="A1255" s="8" t="s">
        <v>2470</v>
      </c>
      <c r="B1255" s="9" t="s">
        <v>2569</v>
      </c>
      <c r="C1255" s="4">
        <v>44117</v>
      </c>
      <c r="D1255" s="4"/>
      <c r="E1255" t="s">
        <v>2471</v>
      </c>
      <c r="F1255" s="9" t="s">
        <v>2325</v>
      </c>
      <c r="G1255" s="10">
        <v>531</v>
      </c>
    </row>
    <row r="1256" spans="1:7" x14ac:dyDescent="0.35">
      <c r="A1256" s="8" t="s">
        <v>2472</v>
      </c>
      <c r="B1256" s="9" t="s">
        <v>2569</v>
      </c>
      <c r="C1256" s="4">
        <v>44117</v>
      </c>
      <c r="D1256" s="4"/>
      <c r="E1256" t="s">
        <v>2471</v>
      </c>
      <c r="F1256" s="9" t="s">
        <v>2325</v>
      </c>
      <c r="G1256" s="10">
        <v>608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>
      <selection activeCell="G510" sqref="G510"/>
    </sheetView>
  </sheetViews>
  <sheetFormatPr defaultColWidth="8.7265625" defaultRowHeight="14.5" x14ac:dyDescent="0.35"/>
  <cols>
    <col min="1" max="1" width="9.1796875" customWidth="1"/>
  </cols>
  <sheetData>
    <row r="1" spans="1:2" x14ac:dyDescent="0.35">
      <c r="A1" t="s">
        <v>2612</v>
      </c>
      <c r="B1" t="s">
        <v>2611</v>
      </c>
    </row>
    <row r="2" spans="1:2" x14ac:dyDescent="0.35">
      <c r="A2">
        <v>1</v>
      </c>
      <c r="B2" s="1" t="s">
        <v>2609</v>
      </c>
    </row>
    <row r="3" spans="1:2" x14ac:dyDescent="0.35">
      <c r="A3">
        <v>2</v>
      </c>
      <c r="B3" s="1" t="s">
        <v>2602</v>
      </c>
    </row>
    <row r="4" spans="1:2" x14ac:dyDescent="0.35">
      <c r="A4">
        <v>3</v>
      </c>
      <c r="B4" s="1" t="s">
        <v>2603</v>
      </c>
    </row>
    <row r="5" spans="1:2" x14ac:dyDescent="0.35">
      <c r="A5">
        <v>4</v>
      </c>
      <c r="B5" s="1" t="s">
        <v>2610</v>
      </c>
    </row>
    <row r="6" spans="1:2" x14ac:dyDescent="0.35">
      <c r="A6">
        <v>5</v>
      </c>
      <c r="B6" s="1" t="s">
        <v>2604</v>
      </c>
    </row>
    <row r="7" spans="1:2" x14ac:dyDescent="0.35">
      <c r="A7">
        <v>6</v>
      </c>
      <c r="B7" s="1" t="s">
        <v>2598</v>
      </c>
    </row>
    <row r="8" spans="1:2" x14ac:dyDescent="0.35">
      <c r="A8">
        <v>7</v>
      </c>
      <c r="B8" s="1" t="s">
        <v>2599</v>
      </c>
    </row>
    <row r="9" spans="1:2" x14ac:dyDescent="0.35">
      <c r="A9">
        <v>8</v>
      </c>
      <c r="B9" s="1" t="s">
        <v>2608</v>
      </c>
    </row>
    <row r="10" spans="1:2" x14ac:dyDescent="0.35">
      <c r="A10">
        <v>9</v>
      </c>
      <c r="B10" s="1" t="s">
        <v>2606</v>
      </c>
    </row>
    <row r="11" spans="1:2" x14ac:dyDescent="0.35">
      <c r="A11">
        <v>10</v>
      </c>
      <c r="B11" s="1" t="s">
        <v>2600</v>
      </c>
    </row>
    <row r="12" spans="1:2" x14ac:dyDescent="0.35">
      <c r="A12">
        <v>11</v>
      </c>
      <c r="B12" s="1" t="s">
        <v>2601</v>
      </c>
    </row>
    <row r="13" spans="1:2" x14ac:dyDescent="0.35">
      <c r="A13">
        <v>12</v>
      </c>
      <c r="B13" s="1" t="s">
        <v>2607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7188C034-C292-423A-B79F-1F9E705F6852}"/>
</file>

<file path=customXml/itemProps2.xml><?xml version="1.0" encoding="utf-8"?>
<ds:datastoreItem xmlns:ds="http://schemas.openxmlformats.org/officeDocument/2006/customXml" ds:itemID="{A259BCE8-96E3-4B4B-87F1-9B5117E86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0038E-98ED-4C88-9B3B-BDFBCABF5E83}">
  <ds:schemaRefs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7e3c0be0-412c-4f88-b4b2-c950a5c5be2c"/>
    <ds:schemaRef ds:uri="http://schemas.openxmlformats.org/package/2006/metadata/core-properties"/>
    <ds:schemaRef ds:uri="http://schemas.microsoft.com/office/2006/documentManagement/types"/>
    <ds:schemaRef ds:uri="51cdfedd-c135-483a-a4d6-fe9369048800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 by categories</vt:lpstr>
      <vt:lpstr>Summary by dates</vt:lpstr>
      <vt:lpstr>Summary by categories to JUN 25</vt:lpstr>
      <vt:lpstr>Summary by dates to JUN 2025</vt:lpstr>
      <vt:lpstr>Report</vt:lpstr>
      <vt:lpstr>Table Pivot</vt:lpstr>
      <vt:lpstr>Month</vt:lpstr>
      <vt:lpstr>'Summary by categories'!Print_Area</vt:lpstr>
      <vt:lpstr>'Summary by dates'!Print_Area</vt:lpstr>
      <vt:lpstr>Report!Print_Titles</vt:lpstr>
      <vt:lpstr>'Summary by categories'!Print_Titles</vt:lpstr>
      <vt:lpstr>'Summary by categories to JUN 25'!Print_Titles</vt:lpstr>
      <vt:lpstr>'Summary by dates'!Print_Titles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 Morón Vélez</dc:creator>
  <cp:lastModifiedBy>Diana I. Barceló Ortiz</cp:lastModifiedBy>
  <cp:revision/>
  <cp:lastPrinted>2025-07-16T18:55:21Z</cp:lastPrinted>
  <dcterms:created xsi:type="dcterms:W3CDTF">2020-10-22T18:56:45Z</dcterms:created>
  <dcterms:modified xsi:type="dcterms:W3CDTF">2025-07-22T14:17:42Z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34345d5-b8e0-4a5a-b857-5bc7a1d5607d_Enabled">
    <vt:lpwstr>true</vt:lpwstr>
  </property>
  <property fmtid="{D5CDD505-2E9C-101B-9397-08002B2CF9AE}" pid="6" name="MSIP_Label_434345d5-b8e0-4a5a-b857-5bc7a1d5607d_SetDate">
    <vt:lpwstr>2024-09-03T14:28:45Z</vt:lpwstr>
  </property>
  <property fmtid="{D5CDD505-2E9C-101B-9397-08002B2CF9AE}" pid="7" name="MSIP_Label_434345d5-b8e0-4a5a-b857-5bc7a1d5607d_Method">
    <vt:lpwstr>Privileged</vt:lpwstr>
  </property>
  <property fmtid="{D5CDD505-2E9C-101B-9397-08002B2CF9AE}" pid="8" name="MSIP_Label_434345d5-b8e0-4a5a-b857-5bc7a1d5607d_Name">
    <vt:lpwstr>Etiqueta General</vt:lpwstr>
  </property>
  <property fmtid="{D5CDD505-2E9C-101B-9397-08002B2CF9AE}" pid="9" name="MSIP_Label_434345d5-b8e0-4a5a-b857-5bc7a1d5607d_SiteId">
    <vt:lpwstr>f158816a-c495-432d-ab2e-ec87c98727fa</vt:lpwstr>
  </property>
  <property fmtid="{D5CDD505-2E9C-101B-9397-08002B2CF9AE}" pid="10" name="MSIP_Label_434345d5-b8e0-4a5a-b857-5bc7a1d5607d_ActionId">
    <vt:lpwstr>d0073b56-77b6-4a9c-928b-0eea32ea47d6</vt:lpwstr>
  </property>
  <property fmtid="{D5CDD505-2E9C-101B-9397-08002B2CF9AE}" pid="11" name="MSIP_Label_434345d5-b8e0-4a5a-b857-5bc7a1d5607d_ContentBits">
    <vt:lpwstr>0</vt:lpwstr>
  </property>
</Properties>
</file>